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profile\redirect\m-fukunaga\Desktop\★★令和８年度　HP掲載用\"/>
    </mc:Choice>
  </mc:AlternateContent>
  <xr:revisionPtr revIDLastSave="0" documentId="13_ncr:1_{22025B0D-263A-4160-A437-C9A81167926E}" xr6:coauthVersionLast="47" xr6:coauthVersionMax="47" xr10:uidLastSave="{00000000-0000-0000-0000-000000000000}"/>
  <bookViews>
    <workbookView xWindow="-120" yWindow="-120" windowWidth="29040" windowHeight="15840" xr2:uid="{22C0DE3C-F859-4A26-BA21-D00C05196FEA}"/>
  </bookViews>
  <sheets>
    <sheet name="備蓄目標と現況" sheetId="1" r:id="rId1"/>
    <sheet name="備蓄基準設定の考え方"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1" l="1"/>
  <c r="E11" i="1"/>
  <c r="H11" i="1" l="1"/>
  <c r="L163" i="1"/>
  <c r="L162" i="1"/>
  <c r="L153" i="1"/>
  <c r="L152" i="1"/>
  <c r="L112" i="1"/>
  <c r="L100" i="1"/>
  <c r="L93" i="1"/>
  <c r="L92" i="1"/>
  <c r="I75" i="1"/>
  <c r="K75" i="1"/>
  <c r="J75" i="1"/>
  <c r="H75" i="1"/>
  <c r="G75" i="1"/>
  <c r="F75" i="1"/>
  <c r="E75" i="1"/>
  <c r="L74" i="1"/>
  <c r="L81" i="1"/>
  <c r="L80" i="1"/>
  <c r="L65" i="1"/>
  <c r="L64" i="1"/>
  <c r="K135" i="1"/>
  <c r="K133" i="1"/>
  <c r="K131" i="1"/>
  <c r="K129" i="1"/>
  <c r="K127" i="1"/>
  <c r="K125" i="1"/>
  <c r="J135" i="1"/>
  <c r="J133" i="1"/>
  <c r="J131" i="1"/>
  <c r="J129" i="1"/>
  <c r="J127" i="1"/>
  <c r="J125" i="1"/>
  <c r="H135" i="1"/>
  <c r="H133" i="1"/>
  <c r="H131" i="1"/>
  <c r="H129" i="1"/>
  <c r="H127" i="1"/>
  <c r="H125" i="1"/>
  <c r="G135" i="1"/>
  <c r="G133" i="1"/>
  <c r="G131" i="1"/>
  <c r="G129" i="1"/>
  <c r="G127" i="1"/>
  <c r="G125" i="1"/>
  <c r="E135" i="1"/>
  <c r="E133" i="1"/>
  <c r="E131" i="1"/>
  <c r="E129" i="1"/>
  <c r="E127" i="1"/>
  <c r="E125" i="1"/>
  <c r="E15" i="1"/>
  <c r="F15" i="1"/>
  <c r="G15" i="1"/>
  <c r="H15" i="1"/>
  <c r="K103" i="1"/>
  <c r="K105" i="1" s="1"/>
  <c r="J103" i="1"/>
  <c r="J105" i="1" s="1"/>
  <c r="H103" i="1"/>
  <c r="H105" i="1" s="1"/>
  <c r="G103" i="1"/>
  <c r="G105" i="1" s="1"/>
  <c r="E103" i="1"/>
  <c r="E105" i="1" s="1"/>
  <c r="L50" i="1"/>
  <c r="L66" i="1"/>
  <c r="I23" i="1"/>
  <c r="K23" i="1"/>
  <c r="J23" i="1"/>
  <c r="H23" i="1"/>
  <c r="G23" i="1"/>
  <c r="F23" i="1"/>
  <c r="E23" i="1"/>
  <c r="K59" i="1"/>
  <c r="K61" i="1" s="1"/>
  <c r="J59" i="1"/>
  <c r="J61" i="1" s="1"/>
  <c r="F59" i="1"/>
  <c r="F61" i="1" s="1"/>
  <c r="G59" i="1"/>
  <c r="G61" i="1" s="1"/>
  <c r="H59" i="1"/>
  <c r="H63" i="1" s="1"/>
  <c r="E59" i="1"/>
  <c r="E63" i="1" s="1"/>
  <c r="L62" i="1"/>
  <c r="L60" i="1"/>
  <c r="I59" i="1"/>
  <c r="I61" i="1" s="1"/>
  <c r="L58" i="1"/>
  <c r="K13" i="1"/>
  <c r="J13" i="1"/>
  <c r="H13" i="1"/>
  <c r="G13" i="1"/>
  <c r="E13" i="1"/>
  <c r="L22" i="1"/>
  <c r="K25" i="1"/>
  <c r="J25" i="1"/>
  <c r="H25" i="1"/>
  <c r="G25" i="1"/>
  <c r="F25" i="1"/>
  <c r="I31" i="1"/>
  <c r="K31" i="1"/>
  <c r="J31" i="1"/>
  <c r="H31" i="1"/>
  <c r="G31" i="1"/>
  <c r="F31" i="1"/>
  <c r="E31" i="1"/>
  <c r="E25" i="1"/>
  <c r="J101" i="1"/>
  <c r="H101" i="1"/>
  <c r="I101" i="1"/>
  <c r="K101" i="1"/>
  <c r="G101" i="1"/>
  <c r="F101" i="1"/>
  <c r="E101" i="1"/>
  <c r="K21" i="1"/>
  <c r="J21" i="1"/>
  <c r="H21" i="1"/>
  <c r="G21" i="1"/>
  <c r="F21" i="1"/>
  <c r="E21" i="1"/>
  <c r="K19" i="1"/>
  <c r="J19" i="1"/>
  <c r="H19" i="1"/>
  <c r="G19" i="1"/>
  <c r="F19" i="1"/>
  <c r="E19" i="1"/>
  <c r="L9" i="1"/>
  <c r="L7" i="1"/>
  <c r="H8" i="1" s="1"/>
  <c r="H99" i="1" s="1"/>
  <c r="K17" i="1"/>
  <c r="J17" i="1"/>
  <c r="H17" i="1"/>
  <c r="G17" i="1"/>
  <c r="F17" i="1"/>
  <c r="E17" i="1"/>
  <c r="H113" i="1" l="1"/>
  <c r="L75" i="1"/>
  <c r="H55" i="1"/>
  <c r="H67" i="1"/>
  <c r="H57" i="1"/>
  <c r="J63" i="1"/>
  <c r="H61" i="1"/>
  <c r="G63" i="1"/>
  <c r="F63" i="1"/>
  <c r="E61" i="1"/>
  <c r="L59" i="1"/>
  <c r="I63" i="1"/>
  <c r="K63" i="1"/>
  <c r="L23" i="1"/>
  <c r="L31" i="1"/>
  <c r="L19" i="1"/>
  <c r="K8" i="1"/>
  <c r="J8" i="1"/>
  <c r="L101" i="1"/>
  <c r="F8" i="1"/>
  <c r="F113" i="1" s="1"/>
  <c r="G8" i="1"/>
  <c r="L17" i="1"/>
  <c r="K53" i="1"/>
  <c r="J53" i="1"/>
  <c r="H53" i="1"/>
  <c r="G53" i="1"/>
  <c r="E53" i="1"/>
  <c r="K51" i="1"/>
  <c r="J51" i="1"/>
  <c r="H51" i="1"/>
  <c r="G51" i="1"/>
  <c r="E51" i="1"/>
  <c r="K49" i="1"/>
  <c r="J49" i="1"/>
  <c r="H49" i="1"/>
  <c r="G49" i="1"/>
  <c r="E49" i="1"/>
  <c r="K137" i="1"/>
  <c r="J137" i="1"/>
  <c r="H137" i="1"/>
  <c r="G137" i="1"/>
  <c r="E137" i="1"/>
  <c r="G67" i="1" l="1"/>
  <c r="G113" i="1"/>
  <c r="J67" i="1"/>
  <c r="J113" i="1"/>
  <c r="E67" i="1"/>
  <c r="E113" i="1"/>
  <c r="K67" i="1"/>
  <c r="K113" i="1"/>
  <c r="L61" i="1"/>
  <c r="F99" i="1"/>
  <c r="F67" i="1"/>
  <c r="L63" i="1"/>
  <c r="G99" i="1"/>
  <c r="G55" i="1"/>
  <c r="G57" i="1"/>
  <c r="E99" i="1"/>
  <c r="E57" i="1"/>
  <c r="L57" i="1" s="1"/>
  <c r="E55" i="1"/>
  <c r="K99" i="1"/>
  <c r="K55" i="1"/>
  <c r="K57" i="1"/>
  <c r="J99" i="1"/>
  <c r="J57" i="1"/>
  <c r="J55" i="1"/>
  <c r="L8" i="1"/>
  <c r="L51" i="1"/>
  <c r="L127" i="1"/>
  <c r="L125" i="1"/>
  <c r="K121" i="1"/>
  <c r="J121" i="1"/>
  <c r="H121" i="1"/>
  <c r="G121" i="1"/>
  <c r="F121" i="1"/>
  <c r="E121" i="1"/>
  <c r="I115" i="1"/>
  <c r="K115" i="1"/>
  <c r="J115" i="1"/>
  <c r="H115" i="1"/>
  <c r="G115" i="1"/>
  <c r="F115" i="1"/>
  <c r="E115" i="1"/>
  <c r="L116" i="1"/>
  <c r="K15" i="1"/>
  <c r="J15" i="1"/>
  <c r="I11" i="1"/>
  <c r="K11" i="1"/>
  <c r="J11" i="1"/>
  <c r="G11" i="1"/>
  <c r="F11" i="1"/>
  <c r="I73" i="1"/>
  <c r="I123" i="1"/>
  <c r="I119" i="1"/>
  <c r="I107" i="1"/>
  <c r="I103" i="1"/>
  <c r="I47" i="1"/>
  <c r="I45" i="1"/>
  <c r="I43" i="1"/>
  <c r="I41" i="1"/>
  <c r="I39" i="1"/>
  <c r="I37" i="1"/>
  <c r="I35" i="1"/>
  <c r="I33" i="1"/>
  <c r="I27" i="1"/>
  <c r="I25" i="1"/>
  <c r="G50" i="2"/>
  <c r="G51" i="2"/>
  <c r="G52" i="2"/>
  <c r="G53" i="2"/>
  <c r="G49" i="2"/>
  <c r="D54" i="2"/>
  <c r="G54" i="2" s="1"/>
  <c r="C54" i="2"/>
  <c r="L165" i="1"/>
  <c r="L164" i="1"/>
  <c r="L161" i="1"/>
  <c r="L160" i="1"/>
  <c r="L159" i="1"/>
  <c r="L158" i="1"/>
  <c r="L157" i="1"/>
  <c r="L156" i="1"/>
  <c r="L155" i="1"/>
  <c r="L154" i="1"/>
  <c r="L150" i="1"/>
  <c r="L148" i="1"/>
  <c r="L147" i="1"/>
  <c r="L146" i="1"/>
  <c r="L145" i="1"/>
  <c r="L144" i="1"/>
  <c r="L143" i="1"/>
  <c r="L142" i="1"/>
  <c r="L141" i="1"/>
  <c r="L140" i="1"/>
  <c r="L139" i="1"/>
  <c r="L138" i="1"/>
  <c r="L56" i="1"/>
  <c r="L54" i="1"/>
  <c r="L53" i="1"/>
  <c r="L52" i="1"/>
  <c r="L49" i="1"/>
  <c r="L48" i="1"/>
  <c r="L137" i="1"/>
  <c r="L136" i="1"/>
  <c r="L135" i="1"/>
  <c r="L134" i="1"/>
  <c r="L133" i="1"/>
  <c r="L132" i="1"/>
  <c r="L131" i="1"/>
  <c r="L130" i="1"/>
  <c r="L129" i="1"/>
  <c r="L128" i="1"/>
  <c r="L126" i="1"/>
  <c r="L124" i="1"/>
  <c r="L122" i="1"/>
  <c r="L118" i="1"/>
  <c r="L114" i="1"/>
  <c r="L111" i="1"/>
  <c r="L110" i="1"/>
  <c r="L108" i="1"/>
  <c r="L106" i="1"/>
  <c r="L105" i="1"/>
  <c r="L104" i="1"/>
  <c r="L102" i="1"/>
  <c r="L98" i="1"/>
  <c r="L97" i="1"/>
  <c r="L96" i="1"/>
  <c r="L95" i="1"/>
  <c r="L94" i="1"/>
  <c r="L91" i="1"/>
  <c r="L90" i="1"/>
  <c r="L89" i="1"/>
  <c r="L88" i="1"/>
  <c r="L86" i="1"/>
  <c r="L84" i="1"/>
  <c r="L82" i="1"/>
  <c r="L79" i="1"/>
  <c r="L78" i="1"/>
  <c r="L76" i="1"/>
  <c r="L72" i="1"/>
  <c r="L70" i="1"/>
  <c r="L69" i="1"/>
  <c r="L68" i="1"/>
  <c r="L46" i="1"/>
  <c r="L44" i="1"/>
  <c r="L42" i="1"/>
  <c r="L40" i="1"/>
  <c r="L38" i="1"/>
  <c r="L36" i="1"/>
  <c r="L34" i="1"/>
  <c r="L32" i="1"/>
  <c r="L28" i="1"/>
  <c r="L26" i="1"/>
  <c r="L24" i="1"/>
  <c r="L113" i="1" l="1"/>
  <c r="L67" i="1"/>
  <c r="L55" i="1"/>
  <c r="L121" i="1"/>
  <c r="L21" i="1"/>
  <c r="L13" i="1"/>
  <c r="L15" i="1"/>
  <c r="L11" i="1"/>
  <c r="L25" i="1"/>
  <c r="K109" i="1"/>
  <c r="J109" i="1"/>
  <c r="H109" i="1"/>
  <c r="G109" i="1"/>
  <c r="F109" i="1"/>
  <c r="E109" i="1"/>
  <c r="K151" i="1"/>
  <c r="J151" i="1"/>
  <c r="H151" i="1"/>
  <c r="G151" i="1"/>
  <c r="F151" i="1"/>
  <c r="E151" i="1"/>
  <c r="K149" i="1"/>
  <c r="J149" i="1"/>
  <c r="H149" i="1"/>
  <c r="G149" i="1"/>
  <c r="E149" i="1"/>
  <c r="L151" i="1" l="1"/>
  <c r="L109" i="1"/>
  <c r="L149" i="1"/>
  <c r="K123" i="1"/>
  <c r="J123" i="1"/>
  <c r="H123" i="1"/>
  <c r="G123" i="1"/>
  <c r="F123" i="1"/>
  <c r="E123" i="1"/>
  <c r="K119" i="1"/>
  <c r="J119" i="1"/>
  <c r="H119" i="1"/>
  <c r="G119" i="1"/>
  <c r="F119" i="1"/>
  <c r="E119" i="1"/>
  <c r="K117" i="1"/>
  <c r="J117" i="1"/>
  <c r="H117" i="1"/>
  <c r="G117" i="1"/>
  <c r="E117" i="1"/>
  <c r="K107" i="1"/>
  <c r="J107" i="1"/>
  <c r="H107" i="1"/>
  <c r="G107" i="1"/>
  <c r="F107" i="1"/>
  <c r="E107" i="1"/>
  <c r="F103" i="1"/>
  <c r="K83" i="1"/>
  <c r="J83" i="1"/>
  <c r="H83" i="1"/>
  <c r="G83" i="1"/>
  <c r="E83" i="1"/>
  <c r="J73" i="1"/>
  <c r="H73" i="1"/>
  <c r="G73" i="1"/>
  <c r="F73" i="1"/>
  <c r="E73" i="1"/>
  <c r="K71" i="1"/>
  <c r="J71" i="1"/>
  <c r="H71" i="1"/>
  <c r="G71" i="1"/>
  <c r="F71" i="1"/>
  <c r="E71" i="1"/>
  <c r="K85" i="1" l="1"/>
  <c r="L83" i="1"/>
  <c r="L119" i="1"/>
  <c r="L71" i="1"/>
  <c r="L73" i="1"/>
  <c r="L103" i="1"/>
  <c r="L107" i="1"/>
  <c r="L117" i="1"/>
  <c r="L77" i="1"/>
  <c r="L99" i="1"/>
  <c r="L123" i="1"/>
  <c r="L115" i="1"/>
  <c r="E87" i="1"/>
  <c r="E85" i="1"/>
  <c r="G87" i="1"/>
  <c r="G85" i="1"/>
  <c r="H87" i="1"/>
  <c r="H85" i="1"/>
  <c r="J85" i="1"/>
  <c r="J87" i="1"/>
  <c r="K87" i="1"/>
  <c r="L85" i="1" l="1"/>
  <c r="L87" i="1"/>
  <c r="K47" i="1"/>
  <c r="J47" i="1"/>
  <c r="H47" i="1"/>
  <c r="G47" i="1"/>
  <c r="F47" i="1"/>
  <c r="E47" i="1"/>
  <c r="K45" i="1"/>
  <c r="J45" i="1"/>
  <c r="H45" i="1"/>
  <c r="G45" i="1"/>
  <c r="F45" i="1"/>
  <c r="E45" i="1"/>
  <c r="K43" i="1"/>
  <c r="J43" i="1"/>
  <c r="H43" i="1"/>
  <c r="G43" i="1"/>
  <c r="F43" i="1"/>
  <c r="E43" i="1"/>
  <c r="K41" i="1"/>
  <c r="J41" i="1"/>
  <c r="H41" i="1"/>
  <c r="G41" i="1"/>
  <c r="F41" i="1"/>
  <c r="E41" i="1"/>
  <c r="K39" i="1"/>
  <c r="J39" i="1"/>
  <c r="H39" i="1"/>
  <c r="G39" i="1"/>
  <c r="F39" i="1"/>
  <c r="E39" i="1"/>
  <c r="K35" i="1"/>
  <c r="J35" i="1"/>
  <c r="H35" i="1"/>
  <c r="G35" i="1"/>
  <c r="F35" i="1"/>
  <c r="E35" i="1"/>
  <c r="K37" i="1"/>
  <c r="J37" i="1"/>
  <c r="H37" i="1"/>
  <c r="G37" i="1"/>
  <c r="F37" i="1"/>
  <c r="E37" i="1"/>
  <c r="K33" i="1"/>
  <c r="J33" i="1"/>
  <c r="H33" i="1"/>
  <c r="G33" i="1"/>
  <c r="F33" i="1"/>
  <c r="E33" i="1"/>
  <c r="K29" i="1"/>
  <c r="J29" i="1"/>
  <c r="H29" i="1"/>
  <c r="G29" i="1"/>
  <c r="F29" i="1"/>
  <c r="E29" i="1"/>
  <c r="K27" i="1"/>
  <c r="J27" i="1"/>
  <c r="H27" i="1"/>
  <c r="G27" i="1"/>
  <c r="F27" i="1"/>
  <c r="E27" i="1"/>
  <c r="L47" i="1" l="1"/>
  <c r="L43" i="1"/>
  <c r="L29" i="1"/>
  <c r="L37" i="1"/>
  <c r="L33" i="1"/>
  <c r="L27" i="1"/>
  <c r="L35" i="1"/>
  <c r="L39" i="1"/>
  <c r="L41" i="1"/>
  <c r="L45" i="1"/>
</calcChain>
</file>

<file path=xl/sharedStrings.xml><?xml version="1.0" encoding="utf-8"?>
<sst xmlns="http://schemas.openxmlformats.org/spreadsheetml/2006/main" count="177" uniqueCount="158">
  <si>
    <t>免田</t>
    <rPh sb="0" eb="2">
      <t>メンダ</t>
    </rPh>
    <phoneticPr fontId="1"/>
  </si>
  <si>
    <t>岡原</t>
    <rPh sb="0" eb="2">
      <t>オカハラ</t>
    </rPh>
    <phoneticPr fontId="1"/>
  </si>
  <si>
    <t>須恵</t>
    <rPh sb="0" eb="2">
      <t>スエ</t>
    </rPh>
    <phoneticPr fontId="1"/>
  </si>
  <si>
    <t>深田</t>
    <rPh sb="0" eb="2">
      <t>フカダ</t>
    </rPh>
    <phoneticPr fontId="1"/>
  </si>
  <si>
    <t>校区</t>
    <rPh sb="0" eb="2">
      <t>コウク</t>
    </rPh>
    <phoneticPr fontId="1"/>
  </si>
  <si>
    <t>アルファ化米</t>
    <rPh sb="4" eb="5">
      <t>カ</t>
    </rPh>
    <rPh sb="5" eb="6">
      <t>マイ</t>
    </rPh>
    <phoneticPr fontId="1"/>
  </si>
  <si>
    <t>缶パン</t>
    <rPh sb="0" eb="1">
      <t>カン</t>
    </rPh>
    <phoneticPr fontId="1"/>
  </si>
  <si>
    <t>パックおかゆ</t>
    <phoneticPr fontId="1"/>
  </si>
  <si>
    <t>アレルギー
対応食</t>
    <rPh sb="6" eb="8">
      <t>タイオウ</t>
    </rPh>
    <rPh sb="8" eb="9">
      <t>ショク</t>
    </rPh>
    <phoneticPr fontId="1"/>
  </si>
  <si>
    <t>毛布</t>
    <rPh sb="0" eb="2">
      <t>モウフ</t>
    </rPh>
    <phoneticPr fontId="1"/>
  </si>
  <si>
    <t>トイレ</t>
    <phoneticPr fontId="1"/>
  </si>
  <si>
    <t>大人</t>
    <rPh sb="0" eb="2">
      <t>オトナ</t>
    </rPh>
    <phoneticPr fontId="1"/>
  </si>
  <si>
    <t>離乳食（主食）</t>
    <rPh sb="0" eb="3">
      <t>リニュウショク</t>
    </rPh>
    <rPh sb="4" eb="6">
      <t>シュショク</t>
    </rPh>
    <phoneticPr fontId="1"/>
  </si>
  <si>
    <t>上</t>
    <rPh sb="0" eb="1">
      <t>ウエ</t>
    </rPh>
    <phoneticPr fontId="1"/>
  </si>
  <si>
    <t>インスタント味噌汁</t>
    <rPh sb="6" eb="9">
      <t>ミソシル</t>
    </rPh>
    <phoneticPr fontId="1"/>
  </si>
  <si>
    <t>野菜スープ</t>
    <rPh sb="0" eb="2">
      <t>ヤサイ</t>
    </rPh>
    <phoneticPr fontId="1"/>
  </si>
  <si>
    <t>離乳食（副食）</t>
    <rPh sb="0" eb="3">
      <t>リニュウショク</t>
    </rPh>
    <rPh sb="4" eb="6">
      <t>フクショク</t>
    </rPh>
    <phoneticPr fontId="1"/>
  </si>
  <si>
    <t>パーティション（1枚)</t>
    <rPh sb="9" eb="10">
      <t>マイ</t>
    </rPh>
    <phoneticPr fontId="1"/>
  </si>
  <si>
    <t>大型冷風扇</t>
    <rPh sb="0" eb="2">
      <t>オオガタ</t>
    </rPh>
    <rPh sb="2" eb="5">
      <t>レイフウセン</t>
    </rPh>
    <phoneticPr fontId="1"/>
  </si>
  <si>
    <t>ストーブ</t>
    <phoneticPr fontId="1"/>
  </si>
  <si>
    <t>歯ブラシ</t>
    <rPh sb="0" eb="1">
      <t>ハ</t>
    </rPh>
    <phoneticPr fontId="1"/>
  </si>
  <si>
    <t>歯磨き粉</t>
    <rPh sb="0" eb="2">
      <t>ハミガ</t>
    </rPh>
    <rPh sb="3" eb="4">
      <t>コ</t>
    </rPh>
    <phoneticPr fontId="1"/>
  </si>
  <si>
    <t>口腔シート</t>
    <rPh sb="0" eb="2">
      <t>コウクウ</t>
    </rPh>
    <phoneticPr fontId="1"/>
  </si>
  <si>
    <t>子供用歯磨き粉</t>
    <rPh sb="0" eb="3">
      <t>コドモヨウ</t>
    </rPh>
    <rPh sb="3" eb="4">
      <t>ハ</t>
    </rPh>
    <rPh sb="4" eb="5">
      <t>ミガ</t>
    </rPh>
    <rPh sb="6" eb="7">
      <t>コ</t>
    </rPh>
    <phoneticPr fontId="1"/>
  </si>
  <si>
    <t>記載例</t>
    <rPh sb="0" eb="2">
      <t>キサイ</t>
    </rPh>
    <rPh sb="2" eb="3">
      <t>レイ</t>
    </rPh>
    <phoneticPr fontId="1"/>
  </si>
  <si>
    <t>（上段） 現況数</t>
    <rPh sb="1" eb="3">
      <t>ジョウダン</t>
    </rPh>
    <rPh sb="5" eb="7">
      <t>ゲンキョウ</t>
    </rPh>
    <rPh sb="7" eb="8">
      <t>スウ</t>
    </rPh>
    <phoneticPr fontId="1"/>
  </si>
  <si>
    <t>簡易マット</t>
    <phoneticPr fontId="1"/>
  </si>
  <si>
    <t>カセットコンロ</t>
    <phoneticPr fontId="1"/>
  </si>
  <si>
    <t>ガスボンベ</t>
    <phoneticPr fontId="1"/>
  </si>
  <si>
    <t>やかん</t>
    <phoneticPr fontId="1"/>
  </si>
  <si>
    <t>救食カレー</t>
    <rPh sb="0" eb="1">
      <t>スク</t>
    </rPh>
    <rPh sb="1" eb="2">
      <t>ショク</t>
    </rPh>
    <phoneticPr fontId="1"/>
  </si>
  <si>
    <t>トイレットペーパー(巻)</t>
    <rPh sb="10" eb="11">
      <t>マ</t>
    </rPh>
    <phoneticPr fontId="1"/>
  </si>
  <si>
    <t>想定避難者数</t>
    <rPh sb="0" eb="2">
      <t>ソウテイ</t>
    </rPh>
    <rPh sb="2" eb="5">
      <t>ヒナンシャ</t>
    </rPh>
    <rPh sb="5" eb="6">
      <t>スウ</t>
    </rPh>
    <phoneticPr fontId="1"/>
  </si>
  <si>
    <t>備蓄場所</t>
    <rPh sb="0" eb="2">
      <t>ビチク</t>
    </rPh>
    <rPh sb="2" eb="4">
      <t>バショ</t>
    </rPh>
    <phoneticPr fontId="1"/>
  </si>
  <si>
    <t>生涯学習ｾﾝﾀｰ内
備蓄倉庫</t>
    <rPh sb="0" eb="2">
      <t>ショウガイ</t>
    </rPh>
    <rPh sb="2" eb="4">
      <t>ガクシュウ</t>
    </rPh>
    <rPh sb="8" eb="9">
      <t>ナイ</t>
    </rPh>
    <rPh sb="10" eb="12">
      <t>ビチク</t>
    </rPh>
    <rPh sb="12" eb="14">
      <t>ソウコ</t>
    </rPh>
    <phoneticPr fontId="1"/>
  </si>
  <si>
    <t>ふれあい福祉
センター</t>
    <rPh sb="4" eb="6">
      <t>フクシ</t>
    </rPh>
    <phoneticPr fontId="1"/>
  </si>
  <si>
    <t>文化ホール
研修室・簡易倉庫</t>
    <phoneticPr fontId="1"/>
  </si>
  <si>
    <t>運動公園体育館
定住ｾﾝﾀｰ簡易倉庫</t>
    <rPh sb="0" eb="2">
      <t>ウンドウ</t>
    </rPh>
    <rPh sb="2" eb="4">
      <t>コウエン</t>
    </rPh>
    <rPh sb="4" eb="7">
      <t>タイイクカン</t>
    </rPh>
    <rPh sb="8" eb="10">
      <t>テイジュウ</t>
    </rPh>
    <rPh sb="14" eb="16">
      <t>カンイ</t>
    </rPh>
    <rPh sb="16" eb="18">
      <t>ソウコ</t>
    </rPh>
    <phoneticPr fontId="1"/>
  </si>
  <si>
    <t>運動公園体育館
簡易倉庫</t>
    <rPh sb="4" eb="7">
      <t>タイイクカン</t>
    </rPh>
    <rPh sb="8" eb="10">
      <t>カンイ</t>
    </rPh>
    <rPh sb="10" eb="12">
      <t>ソウコ</t>
    </rPh>
    <phoneticPr fontId="1"/>
  </si>
  <si>
    <t>野菜ジュース</t>
    <rPh sb="0" eb="2">
      <t>ヤサイ</t>
    </rPh>
    <phoneticPr fontId="1"/>
  </si>
  <si>
    <t>想定避難世帯数</t>
    <rPh sb="0" eb="2">
      <t>ソウテイ</t>
    </rPh>
    <rPh sb="2" eb="4">
      <t>ヒナン</t>
    </rPh>
    <rPh sb="4" eb="7">
      <t>セタイスウ</t>
    </rPh>
    <phoneticPr fontId="1"/>
  </si>
  <si>
    <t>組立ベット(発砲ｽﾁﾛｰﾙ製)</t>
    <rPh sb="0" eb="2">
      <t>クミタテ</t>
    </rPh>
    <rPh sb="6" eb="8">
      <t>ハッポウ</t>
    </rPh>
    <rPh sb="13" eb="14">
      <t>セイ</t>
    </rPh>
    <phoneticPr fontId="1"/>
  </si>
  <si>
    <t>多目的簡易ﾍﾞｯﾄ</t>
    <rPh sb="0" eb="3">
      <t>タモクテキ</t>
    </rPh>
    <rPh sb="3" eb="5">
      <t>カンイ</t>
    </rPh>
    <phoneticPr fontId="1"/>
  </si>
  <si>
    <t>もみじ館,保健ｾﾝﾀｰ
本館･簡易倉庫</t>
    <rPh sb="3" eb="4">
      <t>カン</t>
    </rPh>
    <rPh sb="5" eb="7">
      <t>ホケン</t>
    </rPh>
    <rPh sb="12" eb="14">
      <t>ホンカン</t>
    </rPh>
    <rPh sb="15" eb="17">
      <t>カンイ</t>
    </rPh>
    <rPh sb="17" eb="19">
      <t>ソウコ</t>
    </rPh>
    <phoneticPr fontId="1"/>
  </si>
  <si>
    <t>ﾚｼﾞｬｰﾍﾞｯﾄﾏｯﾄ
　/防災備蓄用ｴｱﾏｯﾄ</t>
    <rPh sb="15" eb="17">
      <t>ボウサイ</t>
    </rPh>
    <rPh sb="17" eb="20">
      <t>ビチクヨウ</t>
    </rPh>
    <phoneticPr fontId="1"/>
  </si>
  <si>
    <t>皆越公民館または
皆越分校</t>
    <rPh sb="0" eb="2">
      <t>ミナゴエ</t>
    </rPh>
    <rPh sb="2" eb="5">
      <t>コウミンカン</t>
    </rPh>
    <rPh sb="9" eb="11">
      <t>ミナゴエ</t>
    </rPh>
    <rPh sb="11" eb="13">
      <t>ブンコウ</t>
    </rPh>
    <phoneticPr fontId="1"/>
  </si>
  <si>
    <t>スポットクーラー</t>
    <phoneticPr fontId="1"/>
  </si>
  <si>
    <t>一般食</t>
    <rPh sb="0" eb="2">
      <t>イッパン</t>
    </rPh>
    <rPh sb="2" eb="3">
      <t>ショク</t>
    </rPh>
    <phoneticPr fontId="1"/>
  </si>
  <si>
    <t>おしりふき（60枚ﾊﾟｯｸ）</t>
    <rPh sb="8" eb="9">
      <t>マイ</t>
    </rPh>
    <phoneticPr fontId="1"/>
  </si>
  <si>
    <t>災害用ミルクセット24本入</t>
    <rPh sb="0" eb="2">
      <t>サイガイ</t>
    </rPh>
    <rPh sb="2" eb="3">
      <t>ヨウ</t>
    </rPh>
    <rPh sb="11" eb="12">
      <t>ホン</t>
    </rPh>
    <rPh sb="12" eb="13">
      <t>イ</t>
    </rPh>
    <phoneticPr fontId="1"/>
  </si>
  <si>
    <t>おむつＳサイズ
(1ﾊﾟｯｸ54枚）</t>
    <rPh sb="16" eb="17">
      <t>マイ</t>
    </rPh>
    <phoneticPr fontId="1"/>
  </si>
  <si>
    <t>新生児用おむつ
(1ﾊﾟｯｸ60枚)</t>
    <rPh sb="0" eb="3">
      <t>シンセイジ</t>
    </rPh>
    <rPh sb="3" eb="4">
      <t>ヨウ</t>
    </rPh>
    <rPh sb="16" eb="17">
      <t>マイ</t>
    </rPh>
    <phoneticPr fontId="1"/>
  </si>
  <si>
    <t>おむつＭサイズ
(1ﾊﾟｯｸ48枚)</t>
    <rPh sb="16" eb="17">
      <t>マイ</t>
    </rPh>
    <phoneticPr fontId="1"/>
  </si>
  <si>
    <t>おむつＬサイズ
(1ﾊﾟｯｸ32枚)</t>
    <rPh sb="16" eb="17">
      <t>マイ</t>
    </rPh>
    <phoneticPr fontId="1"/>
  </si>
  <si>
    <t>おむつＬＬサイズ
(1ﾊﾟｯｸ28枚)</t>
    <rPh sb="17" eb="18">
      <t>マイ</t>
    </rPh>
    <phoneticPr fontId="1"/>
  </si>
  <si>
    <t>おむつBigサイズ
(1ﾊﾟｯｸ24枚）</t>
    <rPh sb="18" eb="19">
      <t>マイ</t>
    </rPh>
    <phoneticPr fontId="1"/>
  </si>
  <si>
    <t>おむつＳサイズ(36枚)</t>
    <rPh sb="10" eb="11">
      <t>マイ</t>
    </rPh>
    <phoneticPr fontId="1"/>
  </si>
  <si>
    <t>おむつＭサイズ(32枚)</t>
    <rPh sb="10" eb="11">
      <t>マイ</t>
    </rPh>
    <phoneticPr fontId="1"/>
  </si>
  <si>
    <t>おむつＬサイズ(28枚)</t>
    <phoneticPr fontId="1"/>
  </si>
  <si>
    <t>おむつＬＬサイズ(24枚)</t>
    <rPh sb="11" eb="12">
      <t>マイ</t>
    </rPh>
    <phoneticPr fontId="1"/>
  </si>
  <si>
    <t>おむつ３Ｌサイズ(20枚)</t>
    <rPh sb="11" eb="12">
      <t>マイ</t>
    </rPh>
    <phoneticPr fontId="1"/>
  </si>
  <si>
    <t>尿取りパット(60枚入）</t>
    <rPh sb="0" eb="1">
      <t>ニョウ</t>
    </rPh>
    <rPh sb="1" eb="2">
      <t>ト</t>
    </rPh>
    <rPh sb="9" eb="10">
      <t>マイ</t>
    </rPh>
    <rPh sb="10" eb="11">
      <t>イリ</t>
    </rPh>
    <phoneticPr fontId="1"/>
  </si>
  <si>
    <t>レジャーテント(煮炊所)
(2.5m×2.5m)</t>
    <rPh sb="8" eb="10">
      <t>ニタ</t>
    </rPh>
    <rPh sb="10" eb="11">
      <t>ジョ</t>
    </rPh>
    <phoneticPr fontId="1"/>
  </si>
  <si>
    <t>衛生</t>
    <rPh sb="0" eb="2">
      <t>エイセイ</t>
    </rPh>
    <phoneticPr fontId="1"/>
  </si>
  <si>
    <t>折畳ベット(ﾌﾚｰﾑ)</t>
    <rPh sb="0" eb="2">
      <t>オリタタミ</t>
    </rPh>
    <phoneticPr fontId="1"/>
  </si>
  <si>
    <t>不織布マスク(1箱50枚入）</t>
    <rPh sb="0" eb="1">
      <t>フ</t>
    </rPh>
    <rPh sb="1" eb="2">
      <t>オリ</t>
    </rPh>
    <rPh sb="2" eb="3">
      <t>ヌノ</t>
    </rPh>
    <rPh sb="8" eb="9">
      <t>ハコ</t>
    </rPh>
    <rPh sb="11" eb="12">
      <t>マイ</t>
    </rPh>
    <rPh sb="12" eb="13">
      <t>イリ</t>
    </rPh>
    <phoneticPr fontId="1"/>
  </si>
  <si>
    <t>総計</t>
    <rPh sb="0" eb="2">
      <t>ソウケイ</t>
    </rPh>
    <phoneticPr fontId="1"/>
  </si>
  <si>
    <t>ﾄｲﾚｯﾄﾍﾟｰﾊﾟｰｳｴｯﾄﾀｲﾌﾟ
(1ﾊﾟｯｸ60枚）</t>
    <rPh sb="28" eb="29">
      <t>マイ</t>
    </rPh>
    <phoneticPr fontId="1"/>
  </si>
  <si>
    <t>上地区</t>
    <rPh sb="0" eb="1">
      <t>ウエ</t>
    </rPh>
    <rPh sb="1" eb="3">
      <t>チク</t>
    </rPh>
    <phoneticPr fontId="1"/>
  </si>
  <si>
    <t>免田地区</t>
    <rPh sb="0" eb="2">
      <t>メンダ</t>
    </rPh>
    <rPh sb="2" eb="4">
      <t>チク</t>
    </rPh>
    <phoneticPr fontId="1"/>
  </si>
  <si>
    <t>岡原地区</t>
    <rPh sb="0" eb="2">
      <t>オカハル</t>
    </rPh>
    <rPh sb="2" eb="4">
      <t>チク</t>
    </rPh>
    <phoneticPr fontId="1"/>
  </si>
  <si>
    <t>須恵地区</t>
    <rPh sb="0" eb="2">
      <t>スエ</t>
    </rPh>
    <rPh sb="2" eb="4">
      <t>チク</t>
    </rPh>
    <phoneticPr fontId="1"/>
  </si>
  <si>
    <t>深田地区</t>
    <rPh sb="0" eb="2">
      <t>フカダ</t>
    </rPh>
    <rPh sb="2" eb="4">
      <t>チク</t>
    </rPh>
    <phoneticPr fontId="1"/>
  </si>
  <si>
    <t>対象女性数</t>
    <rPh sb="0" eb="2">
      <t>タイショウ</t>
    </rPh>
    <rPh sb="2" eb="4">
      <t>ジョセイ</t>
    </rPh>
    <rPh sb="4" eb="5">
      <t>スウ</t>
    </rPh>
    <phoneticPr fontId="1"/>
  </si>
  <si>
    <t>うち生理対象数（A)</t>
    <rPh sb="2" eb="4">
      <t>セイリ</t>
    </rPh>
    <rPh sb="4" eb="6">
      <t>タイショウ</t>
    </rPh>
    <rPh sb="6" eb="7">
      <t>スウ</t>
    </rPh>
    <phoneticPr fontId="1"/>
  </si>
  <si>
    <t>避難者割合(B)</t>
    <rPh sb="0" eb="2">
      <t>ヒナン</t>
    </rPh>
    <rPh sb="2" eb="3">
      <t>シャ</t>
    </rPh>
    <rPh sb="3" eb="5">
      <t>ワリアイ</t>
    </rPh>
    <phoneticPr fontId="1"/>
  </si>
  <si>
    <t>うち女性割合(C)</t>
    <rPh sb="2" eb="4">
      <t>ジョセイ</t>
    </rPh>
    <rPh sb="4" eb="6">
      <t>ワリアイ</t>
    </rPh>
    <phoneticPr fontId="1"/>
  </si>
  <si>
    <t>ナプキン24枚入り
(軽い日用)</t>
    <rPh sb="6" eb="8">
      <t>マイイ</t>
    </rPh>
    <rPh sb="11" eb="12">
      <t>カル</t>
    </rPh>
    <rPh sb="13" eb="14">
      <t>ヒ</t>
    </rPh>
    <rPh sb="14" eb="15">
      <t>ヨウ</t>
    </rPh>
    <phoneticPr fontId="1"/>
  </si>
  <si>
    <t>ナプキン24枚入り
(ふつう用)</t>
    <rPh sb="6" eb="8">
      <t>マイイ</t>
    </rPh>
    <rPh sb="14" eb="15">
      <t>ヨウ</t>
    </rPh>
    <phoneticPr fontId="1"/>
  </si>
  <si>
    <t>ナプキン24枚入り
(多い日用）</t>
    <rPh sb="6" eb="8">
      <t>マイイ</t>
    </rPh>
    <rPh sb="11" eb="12">
      <t>オオ</t>
    </rPh>
    <rPh sb="13" eb="14">
      <t>ヒ</t>
    </rPh>
    <rPh sb="14" eb="15">
      <t>ヨウ</t>
    </rPh>
    <phoneticPr fontId="1"/>
  </si>
  <si>
    <t>ナプキン12枚入り
（夜用）</t>
    <rPh sb="6" eb="8">
      <t>マイイ</t>
    </rPh>
    <rPh sb="11" eb="13">
      <t>ヨルヨウ</t>
    </rPh>
    <phoneticPr fontId="1"/>
  </si>
  <si>
    <t>女性用シート
（生理用ショーツ）</t>
    <rPh sb="0" eb="3">
      <t>ジョセイヨウ</t>
    </rPh>
    <rPh sb="8" eb="11">
      <t>セイリヨウ</t>
    </rPh>
    <phoneticPr fontId="1"/>
  </si>
  <si>
    <t>（A)*(B)*(C)　人</t>
    <rPh sb="12" eb="13">
      <t>ニン</t>
    </rPh>
    <phoneticPr fontId="1"/>
  </si>
  <si>
    <t>20※</t>
    <phoneticPr fontId="1"/>
  </si>
  <si>
    <t>10※</t>
    <phoneticPr fontId="1"/>
  </si>
  <si>
    <t>備考</t>
    <rPh sb="0" eb="2">
      <t>ビコウ</t>
    </rPh>
    <phoneticPr fontId="1"/>
  </si>
  <si>
    <t>フォークスプーン（50本入）</t>
    <rPh sb="11" eb="12">
      <t>ホン</t>
    </rPh>
    <rPh sb="12" eb="13">
      <t>イ</t>
    </rPh>
    <phoneticPr fontId="1"/>
  </si>
  <si>
    <t>割りばし（100本入り）</t>
    <rPh sb="0" eb="1">
      <t>ワ</t>
    </rPh>
    <rPh sb="8" eb="9">
      <t>ホン</t>
    </rPh>
    <rPh sb="9" eb="10">
      <t>イ</t>
    </rPh>
    <phoneticPr fontId="1"/>
  </si>
  <si>
    <t>紙コップ(20個入り）</t>
    <rPh sb="7" eb="8">
      <t>コ</t>
    </rPh>
    <rPh sb="8" eb="9">
      <t>イ</t>
    </rPh>
    <phoneticPr fontId="1"/>
  </si>
  <si>
    <t>ゴミ袋(可燃（小）10枚入）</t>
    <rPh sb="2" eb="3">
      <t>フクロ</t>
    </rPh>
    <rPh sb="4" eb="6">
      <t>カネン</t>
    </rPh>
    <rPh sb="7" eb="8">
      <t>ショウ</t>
    </rPh>
    <rPh sb="11" eb="12">
      <t>マイ</t>
    </rPh>
    <rPh sb="12" eb="13">
      <t>イ</t>
    </rPh>
    <phoneticPr fontId="1"/>
  </si>
  <si>
    <t>ゴミ袋(可燃（大）10枚入）</t>
    <rPh sb="4" eb="6">
      <t>カネン</t>
    </rPh>
    <phoneticPr fontId="1"/>
  </si>
  <si>
    <t>便座除菌シート
（1パック）</t>
    <rPh sb="0" eb="2">
      <t>ベンザ</t>
    </rPh>
    <rPh sb="2" eb="4">
      <t>ジョキン</t>
    </rPh>
    <phoneticPr fontId="1"/>
  </si>
  <si>
    <t>(120ml缶、乳首付き)</t>
    <rPh sb="6" eb="7">
      <t>カン</t>
    </rPh>
    <rPh sb="8" eb="10">
      <t>チクビ</t>
    </rPh>
    <rPh sb="10" eb="11">
      <t>ツ</t>
    </rPh>
    <phoneticPr fontId="1"/>
  </si>
  <si>
    <t>(200ml缶、乳首付き)</t>
    <rPh sb="6" eb="7">
      <t>カン</t>
    </rPh>
    <rPh sb="8" eb="10">
      <t>チクビ</t>
    </rPh>
    <rPh sb="10" eb="11">
      <t>ツ</t>
    </rPh>
    <phoneticPr fontId="1"/>
  </si>
  <si>
    <t>災害用ミルクセット24本(240ml缶、乳首付き）</t>
    <rPh sb="0" eb="3">
      <t>サイガイヨウ</t>
    </rPh>
    <rPh sb="11" eb="12">
      <t>ホン</t>
    </rPh>
    <rPh sb="18" eb="19">
      <t>カン</t>
    </rPh>
    <rPh sb="20" eb="22">
      <t>チクビ</t>
    </rPh>
    <rPh sb="22" eb="23">
      <t>ツ</t>
    </rPh>
    <phoneticPr fontId="1"/>
  </si>
  <si>
    <t xml:space="preserve">避難生活が5日と想定
不通と多い日を多めに算出
一人に対して1パック(24枚)の配布を基準
※ 軽い日と夜用は、シェア
</t>
    <rPh sb="11" eb="13">
      <t>フツウ</t>
    </rPh>
    <rPh sb="14" eb="15">
      <t>オオ</t>
    </rPh>
    <rPh sb="16" eb="17">
      <t>ヒ</t>
    </rPh>
    <rPh sb="18" eb="19">
      <t>オオ</t>
    </rPh>
    <rPh sb="21" eb="23">
      <t>サンシュツ</t>
    </rPh>
    <rPh sb="24" eb="26">
      <t>ヒトリ</t>
    </rPh>
    <rPh sb="27" eb="28">
      <t>タイ</t>
    </rPh>
    <rPh sb="37" eb="38">
      <t>マイ</t>
    </rPh>
    <rPh sb="40" eb="42">
      <t>ハイフ</t>
    </rPh>
    <rPh sb="43" eb="45">
      <t>キジュン</t>
    </rPh>
    <rPh sb="48" eb="49">
      <t>カル</t>
    </rPh>
    <rPh sb="50" eb="51">
      <t>ヒ</t>
    </rPh>
    <rPh sb="52" eb="54">
      <t>ヨルヨウ</t>
    </rPh>
    <phoneticPr fontId="1"/>
  </si>
  <si>
    <t>紙食器（20個入り）</t>
    <rPh sb="1" eb="3">
      <t>ショッキ</t>
    </rPh>
    <rPh sb="6" eb="7">
      <t>コ</t>
    </rPh>
    <rPh sb="7" eb="8">
      <t>イ</t>
    </rPh>
    <phoneticPr fontId="1"/>
  </si>
  <si>
    <t>ー</t>
    <phoneticPr fontId="1"/>
  </si>
  <si>
    <t>一人３枚</t>
    <rPh sb="0" eb="2">
      <t>ヒトリ</t>
    </rPh>
    <rPh sb="3" eb="4">
      <t>マイ</t>
    </rPh>
    <phoneticPr fontId="1"/>
  </si>
  <si>
    <t>後期高齢者用</t>
    <rPh sb="0" eb="2">
      <t>コウキ</t>
    </rPh>
    <rPh sb="2" eb="6">
      <t>コウレイシャヨウ</t>
    </rPh>
    <phoneticPr fontId="1"/>
  </si>
  <si>
    <t>要配慮者用</t>
    <rPh sb="0" eb="1">
      <t>ヨウ</t>
    </rPh>
    <rPh sb="1" eb="3">
      <t>ハイリョ</t>
    </rPh>
    <rPh sb="3" eb="4">
      <t>シャ</t>
    </rPh>
    <rPh sb="4" eb="5">
      <t>ヨウ</t>
    </rPh>
    <phoneticPr fontId="1"/>
  </si>
  <si>
    <t>長期保存おかゆ</t>
    <rPh sb="0" eb="2">
      <t>チョウキ</t>
    </rPh>
    <rPh sb="2" eb="4">
      <t>ホゾン</t>
    </rPh>
    <phoneticPr fontId="1"/>
  </si>
  <si>
    <t>高齢者用</t>
    <rPh sb="0" eb="3">
      <t>コウレイシャ</t>
    </rPh>
    <rPh sb="3" eb="4">
      <t>ヨウ</t>
    </rPh>
    <phoneticPr fontId="1"/>
  </si>
  <si>
    <t>一般避難者用</t>
    <rPh sb="0" eb="2">
      <t>イッパン</t>
    </rPh>
    <rPh sb="2" eb="5">
      <t>ヒナンシャ</t>
    </rPh>
    <rPh sb="5" eb="6">
      <t>ヨウ</t>
    </rPh>
    <phoneticPr fontId="1"/>
  </si>
  <si>
    <t>暑熱軽減・換気用</t>
    <rPh sb="0" eb="2">
      <t>ショネツ</t>
    </rPh>
    <rPh sb="2" eb="4">
      <t>ケイゲン</t>
    </rPh>
    <rPh sb="5" eb="8">
      <t>カンキヨウ</t>
    </rPh>
    <phoneticPr fontId="1"/>
  </si>
  <si>
    <t>暑熱軽減用</t>
    <rPh sb="0" eb="2">
      <t>ショネツ</t>
    </rPh>
    <rPh sb="2" eb="4">
      <t>ケイゲン</t>
    </rPh>
    <rPh sb="4" eb="5">
      <t>ヨウ</t>
    </rPh>
    <phoneticPr fontId="1"/>
  </si>
  <si>
    <t>暖房用</t>
    <rPh sb="0" eb="2">
      <t>ダンボウ</t>
    </rPh>
    <rPh sb="2" eb="3">
      <t>ヨウ</t>
    </rPh>
    <phoneticPr fontId="1"/>
  </si>
  <si>
    <t>５０人に１台</t>
    <rPh sb="2" eb="3">
      <t>ニン</t>
    </rPh>
    <rPh sb="5" eb="6">
      <t>ダイ</t>
    </rPh>
    <phoneticPr fontId="1"/>
  </si>
  <si>
    <t>１台につき８本</t>
    <rPh sb="1" eb="2">
      <t>ダイ</t>
    </rPh>
    <rPh sb="6" eb="7">
      <t>ホン</t>
    </rPh>
    <phoneticPr fontId="1"/>
  </si>
  <si>
    <t>４リットル用</t>
    <rPh sb="5" eb="6">
      <t>ヨウ</t>
    </rPh>
    <phoneticPr fontId="1"/>
  </si>
  <si>
    <t>同上</t>
  </si>
  <si>
    <t>同上</t>
    <rPh sb="0" eb="2">
      <t>ドウジョウ</t>
    </rPh>
    <phoneticPr fontId="1"/>
  </si>
  <si>
    <t>食物アレルギー発現率５％を想定</t>
    <rPh sb="0" eb="2">
      <t>ショクモツ</t>
    </rPh>
    <rPh sb="7" eb="9">
      <t>ハツゲン</t>
    </rPh>
    <rPh sb="9" eb="10">
      <t>リツ</t>
    </rPh>
    <rPh sb="13" eb="15">
      <t>ソウテイ</t>
    </rPh>
    <phoneticPr fontId="1"/>
  </si>
  <si>
    <t>介護･病人食兼</t>
    <rPh sb="0" eb="2">
      <t>カイゴ</t>
    </rPh>
    <rPh sb="3" eb="5">
      <t>ビョウニン</t>
    </rPh>
    <rPh sb="5" eb="6">
      <t>ショク</t>
    </rPh>
    <rPh sb="6" eb="7">
      <t>ケン</t>
    </rPh>
    <phoneticPr fontId="1"/>
  </si>
  <si>
    <t>個人携行を原則
予備分を備蓄</t>
    <rPh sb="10" eb="11">
      <t>ブン</t>
    </rPh>
    <rPh sb="12" eb="14">
      <t>ビチク</t>
    </rPh>
    <phoneticPr fontId="1"/>
  </si>
  <si>
    <t>一人１日一本</t>
  </si>
  <si>
    <r>
      <t xml:space="preserve">１世帯平均１１枚と想定
</t>
    </r>
    <r>
      <rPr>
        <sz val="13"/>
        <color theme="1"/>
        <rFont val="游ゴシック"/>
        <family val="3"/>
        <charset val="128"/>
        <scheme val="minor"/>
      </rPr>
      <t>※ 今後屋内テントへ入れ替え</t>
    </r>
    <rPh sb="1" eb="3">
      <t>セタイ</t>
    </rPh>
    <rPh sb="3" eb="5">
      <t>ヘイキン</t>
    </rPh>
    <rPh sb="7" eb="8">
      <t>マイ</t>
    </rPh>
    <rPh sb="9" eb="11">
      <t>ソウテイ</t>
    </rPh>
    <rPh sb="14" eb="16">
      <t>コンゴ</t>
    </rPh>
    <rPh sb="16" eb="18">
      <t>オクナイ</t>
    </rPh>
    <rPh sb="22" eb="23">
      <t>イ</t>
    </rPh>
    <rPh sb="24" eb="25">
      <t>カ</t>
    </rPh>
    <phoneticPr fontId="1"/>
  </si>
  <si>
    <t>乳幼児食</t>
    <rPh sb="0" eb="3">
      <t>ニュウヨウジ</t>
    </rPh>
    <rPh sb="3" eb="4">
      <t>ショク</t>
    </rPh>
    <phoneticPr fontId="1"/>
  </si>
  <si>
    <t>飲料水 ２L（本）</t>
    <phoneticPr fontId="1"/>
  </si>
  <si>
    <t>食器</t>
    <rPh sb="0" eb="2">
      <t>ショッキ</t>
    </rPh>
    <phoneticPr fontId="1"/>
  </si>
  <si>
    <t>食料</t>
    <rPh sb="0" eb="2">
      <t>ショクリョウ</t>
    </rPh>
    <phoneticPr fontId="1"/>
  </si>
  <si>
    <t>炊事</t>
    <rPh sb="0" eb="2">
      <t>スイジ</t>
    </rPh>
    <phoneticPr fontId="1"/>
  </si>
  <si>
    <t>居住用品</t>
    <rPh sb="0" eb="3">
      <t>キョジュウヨウ</t>
    </rPh>
    <rPh sb="3" eb="4">
      <t>ヒン</t>
    </rPh>
    <phoneticPr fontId="1"/>
  </si>
  <si>
    <t>寝具</t>
    <rPh sb="0" eb="2">
      <t>シング</t>
    </rPh>
    <phoneticPr fontId="1"/>
  </si>
  <si>
    <t>空調</t>
    <rPh sb="0" eb="2">
      <t>クウチョウ</t>
    </rPh>
    <phoneticPr fontId="1"/>
  </si>
  <si>
    <t>育児</t>
    <rPh sb="0" eb="2">
      <t>イクジ</t>
    </rPh>
    <phoneticPr fontId="1"/>
  </si>
  <si>
    <t>女性</t>
    <rPh sb="0" eb="2">
      <t>ジョセイ</t>
    </rPh>
    <phoneticPr fontId="1"/>
  </si>
  <si>
    <t>一人1日5回分</t>
    <rPh sb="0" eb="2">
      <t>ヒトリ</t>
    </rPh>
    <rPh sb="3" eb="4">
      <t>ニチ</t>
    </rPh>
    <rPh sb="5" eb="6">
      <t>カイ</t>
    </rPh>
    <rPh sb="6" eb="7">
      <t>ブン</t>
    </rPh>
    <phoneticPr fontId="1"/>
  </si>
  <si>
    <t>生活</t>
    <rPh sb="0" eb="2">
      <t>セイカツ</t>
    </rPh>
    <phoneticPr fontId="1"/>
  </si>
  <si>
    <t>（下段）〈備蓄目標数〉</t>
    <rPh sb="1" eb="3">
      <t>ゲダン</t>
    </rPh>
    <rPh sb="5" eb="7">
      <t>ビチク</t>
    </rPh>
    <rPh sb="7" eb="9">
      <t>モクヒョウ</t>
    </rPh>
    <rPh sb="9" eb="10">
      <t>カズ</t>
    </rPh>
    <rPh sb="10" eb="11">
      <t>キスウ</t>
    </rPh>
    <phoneticPr fontId="1"/>
  </si>
  <si>
    <t>※</t>
    <phoneticPr fontId="1"/>
  </si>
  <si>
    <t>※</t>
    <phoneticPr fontId="1"/>
  </si>
  <si>
    <t>～6か月頃まで(6日分)※</t>
    <rPh sb="3" eb="4">
      <t>ゲツ</t>
    </rPh>
    <rPh sb="4" eb="5">
      <t>ゴロ</t>
    </rPh>
    <rPh sb="9" eb="11">
      <t>ニチブン</t>
    </rPh>
    <phoneticPr fontId="1"/>
  </si>
  <si>
    <t>～12か月頃まで(6日分)※</t>
    <rPh sb="4" eb="5">
      <t>ゲツ</t>
    </rPh>
    <rPh sb="5" eb="6">
      <t>ゴロ</t>
    </rPh>
    <rPh sb="10" eb="12">
      <t>ニチブン</t>
    </rPh>
    <phoneticPr fontId="1"/>
  </si>
  <si>
    <t>～24か月頃まで(6日分)※</t>
    <rPh sb="4" eb="5">
      <t>ゲツ</t>
    </rPh>
    <rPh sb="5" eb="6">
      <t>ゴロ</t>
    </rPh>
    <rPh sb="10" eb="12">
      <t>ニチブン</t>
    </rPh>
    <phoneticPr fontId="1"/>
  </si>
  <si>
    <t>18～36か月(6日分）※</t>
    <rPh sb="6" eb="7">
      <t>ゲツ</t>
    </rPh>
    <rPh sb="9" eb="11">
      <t>ニチブン</t>
    </rPh>
    <phoneticPr fontId="1"/>
  </si>
  <si>
    <t>プライ
　バシー</t>
    <phoneticPr fontId="1"/>
  </si>
  <si>
    <t>炊飯袋</t>
    <rPh sb="0" eb="2">
      <t>スイハン</t>
    </rPh>
    <rPh sb="2" eb="3">
      <t>ブクロ</t>
    </rPh>
    <phoneticPr fontId="1"/>
  </si>
  <si>
    <t>※印は 総計には含まず
要介護者（1名）+支援者</t>
    <rPh sb="1" eb="2">
      <t>イン</t>
    </rPh>
    <rPh sb="4" eb="6">
      <t>ソウケイ</t>
    </rPh>
    <rPh sb="8" eb="9">
      <t>フク</t>
    </rPh>
    <rPh sb="12" eb="13">
      <t>ヨウ</t>
    </rPh>
    <rPh sb="13" eb="16">
      <t>カイゴシャ</t>
    </rPh>
    <rPh sb="18" eb="19">
      <t>メイ</t>
    </rPh>
    <rPh sb="21" eb="24">
      <t>シエンシャ</t>
    </rPh>
    <phoneticPr fontId="1"/>
  </si>
  <si>
    <t>あさぎり町災害用備蓄目標・備蓄現況一覧表</t>
    <rPh sb="4" eb="5">
      <t>チョウ</t>
    </rPh>
    <rPh sb="5" eb="8">
      <t>サイガイヨウ</t>
    </rPh>
    <rPh sb="8" eb="10">
      <t>ビチク</t>
    </rPh>
    <rPh sb="10" eb="12">
      <t>モクヒョウ</t>
    </rPh>
    <rPh sb="13" eb="15">
      <t>ビチク</t>
    </rPh>
    <rPh sb="15" eb="17">
      <t>ゲンキョウ</t>
    </rPh>
    <rPh sb="17" eb="19">
      <t>イチラン</t>
    </rPh>
    <rPh sb="19" eb="20">
      <t>ヒョウ</t>
    </rPh>
    <phoneticPr fontId="1"/>
  </si>
  <si>
    <r>
      <t xml:space="preserve">簡易トイレ
</t>
    </r>
    <r>
      <rPr>
        <b/>
        <sz val="14"/>
        <color theme="1"/>
        <rFont val="游ゴシック"/>
        <family val="3"/>
        <charset val="128"/>
        <scheme val="minor"/>
      </rPr>
      <t>（ポータブル便座）</t>
    </r>
    <rPh sb="0" eb="2">
      <t>カンイ</t>
    </rPh>
    <rPh sb="12" eb="14">
      <t>ベンザ</t>
    </rPh>
    <phoneticPr fontId="1"/>
  </si>
  <si>
    <r>
      <t xml:space="preserve">携帯トイレ
</t>
    </r>
    <r>
      <rPr>
        <b/>
        <sz val="14"/>
        <color theme="1"/>
        <rFont val="游ゴシック"/>
        <family val="3"/>
        <charset val="128"/>
        <scheme val="minor"/>
      </rPr>
      <t>（非常用トイレ）</t>
    </r>
    <rPh sb="0" eb="2">
      <t>ケイタイ</t>
    </rPh>
    <rPh sb="7" eb="10">
      <t>ヒジョウヨウ</t>
    </rPh>
    <phoneticPr fontId="1"/>
  </si>
  <si>
    <t>折り畳み電動ﾍﾞｯﾄ</t>
    <rPh sb="0" eb="1">
      <t>オ</t>
    </rPh>
    <rPh sb="2" eb="3">
      <t>タタ</t>
    </rPh>
    <rPh sb="4" eb="6">
      <t>デンドウ</t>
    </rPh>
    <phoneticPr fontId="1"/>
  </si>
  <si>
    <t>アルミブランケット</t>
    <phoneticPr fontId="1"/>
  </si>
  <si>
    <t>プライベートテント</t>
    <phoneticPr fontId="1"/>
  </si>
  <si>
    <t>大型扇風機（三脚式）</t>
    <rPh sb="0" eb="2">
      <t>オオガタ</t>
    </rPh>
    <rPh sb="2" eb="5">
      <t>センプウキ</t>
    </rPh>
    <rPh sb="6" eb="8">
      <t>サンキャク</t>
    </rPh>
    <rPh sb="8" eb="9">
      <t>シキ</t>
    </rPh>
    <phoneticPr fontId="1"/>
  </si>
  <si>
    <t>液体歯磨き(960ml）</t>
    <rPh sb="0" eb="2">
      <t>エキタイ</t>
    </rPh>
    <rPh sb="2" eb="4">
      <t>ハミガ</t>
    </rPh>
    <phoneticPr fontId="1"/>
  </si>
  <si>
    <t>ハンドソープ</t>
    <phoneticPr fontId="1"/>
  </si>
  <si>
    <t>除菌シート
（1ﾊﾟｯｸ）</t>
    <rPh sb="0" eb="2">
      <t>ジョキン</t>
    </rPh>
    <phoneticPr fontId="1"/>
  </si>
  <si>
    <t>使い捨て下着（男性用）</t>
    <rPh sb="0" eb="1">
      <t>ツカ</t>
    </rPh>
    <rPh sb="2" eb="3">
      <t>ス</t>
    </rPh>
    <rPh sb="4" eb="6">
      <t>シタギ</t>
    </rPh>
    <rPh sb="7" eb="9">
      <t>ダンセイ</t>
    </rPh>
    <rPh sb="9" eb="10">
      <t>ヨウ</t>
    </rPh>
    <phoneticPr fontId="1"/>
  </si>
  <si>
    <t>使い捨て下着（女性用）</t>
    <rPh sb="0" eb="1">
      <t>ツカ</t>
    </rPh>
    <rPh sb="2" eb="3">
      <t>ス</t>
    </rPh>
    <rPh sb="4" eb="6">
      <t>シタギ</t>
    </rPh>
    <rPh sb="7" eb="9">
      <t>ジョセイ</t>
    </rPh>
    <rPh sb="9" eb="10">
      <t>ヨウ</t>
    </rPh>
    <phoneticPr fontId="1"/>
  </si>
  <si>
    <t>おしりふき（60枚入）</t>
    <rPh sb="8" eb="9">
      <t>マイ</t>
    </rPh>
    <rPh sb="9" eb="10">
      <t>イ</t>
    </rPh>
    <phoneticPr fontId="1"/>
  </si>
  <si>
    <t>2026年7月17日現在</t>
    <rPh sb="4" eb="5">
      <t>ネン</t>
    </rPh>
    <rPh sb="6" eb="7">
      <t>ガツ</t>
    </rPh>
    <rPh sb="9" eb="10">
      <t>ニチ</t>
    </rPh>
    <rPh sb="10" eb="12">
      <t>ゲンザイ</t>
    </rPh>
    <phoneticPr fontId="1"/>
  </si>
  <si>
    <t>偏差</t>
    <rPh sb="0" eb="2">
      <t>ヘンサ</t>
    </rPh>
    <phoneticPr fontId="1"/>
  </si>
  <si>
    <t>排泄物収集用</t>
    <rPh sb="0" eb="3">
      <t>ハイセツブツ</t>
    </rPh>
    <rPh sb="3" eb="5">
      <t>シュウシュウ</t>
    </rPh>
    <rPh sb="5" eb="6">
      <t>ヨウ</t>
    </rPh>
    <phoneticPr fontId="1"/>
  </si>
  <si>
    <t>一般ごみ用</t>
    <rPh sb="0" eb="2">
      <t>イッパン</t>
    </rPh>
    <rPh sb="4" eb="5">
      <t>ヨウ</t>
    </rPh>
    <phoneticPr fontId="1"/>
  </si>
  <si>
    <t>子供用歯ブラシ</t>
    <rPh sb="0" eb="3">
      <t>コドモヨウ</t>
    </rPh>
    <rPh sb="3" eb="4">
      <t>ハ</t>
    </rPh>
    <phoneticPr fontId="1"/>
  </si>
  <si>
    <r>
      <t>１　数量
　①　最大の被害を生ずると想定される人吉盆地南縁断層地震での避難者数に基づく
　②　飲料水、食料・食器、歯磨き用品は、発災当初から３日分を避難者の非常持ち出し品を使用する前提とし、町の災害用備蓄は４日目から６日目までの３日分を基準として算定
　③　飲料水には循環式貯水槽の備蓄量を含めて算定
　</t>
    </r>
    <r>
      <rPr>
        <u/>
        <sz val="11"/>
        <color theme="1"/>
        <rFont val="游ゴシック"/>
        <family val="3"/>
        <charset val="128"/>
        <scheme val="minor"/>
      </rPr>
      <t>※　製品の保存期間とローリングストックの周期、その他の状況を踏まえ数年にわたり逐次整備予定</t>
    </r>
    <r>
      <rPr>
        <sz val="11"/>
        <color theme="1"/>
        <rFont val="游ゴシック"/>
        <family val="2"/>
        <charset val="128"/>
        <scheme val="minor"/>
      </rPr>
      <t xml:space="preserve">
２　場所は、町の指定避難所のほか孤立化に備え皆越分校を設定
３　品目は、避難所で生活するにおいての必需品を考慮して選定　
４　食料品は3日間の献立を下記のとおり設定
　　1日目　朝：野菜スープ、パックおかゆ　　昼・夜：α化米2個、インスタント味噌汁
　　2日目　朝：缶パン、野菜スープ　　昼：α化米2個、インスタント味噌汁　　夜：救食カレー、野菜ジュース
　　3日目　朝：野菜スープ、パックおかゆ　　昼・夜：α化米2個、インスタント味噌汁
５　食物アレルギーのを有する人数は、厚労省データから人口の5％と想定した。
６　パーティションは、1人用（７枚）～4人用（15枚）の平均値(11枚）を基準に算定。
　　（使い勝手や抗甚性が悪いので新規購入はせず、屋内用ワンタッチテントへの更新を推奨）
７　毛布は、一人3枚を基準に算定
８　ベットの算定などに関する基準はは次のとおり
　　組立ﾍﾞｯﾄ(発泡ｽﾁﾛｰﾙ製)：後期高齢者用【避難者の20％】、多目的簡易ﾍﾞｯﾄ：要介護者用【福祉避難所のみ】
　　折り畳みﾍﾞｯﾄ：高齢者（65～75歳）【避難者の20％）、ﾚｼﾞｬｰﾍﾞｯﾄﾏｯﾄ/防災備蓄用ｴｱﾏｯﾄ+簡易マット：一般避難者用
９　カセットコンロは50人に1台、ボンベは1台につき8本備付で算定
10　歯磨き粉・ブラシは個人携行を基本。歯ブラシは現保有分を人数割合に比して各避難所に備蓄
11　子供用歯磨き等の算定：地区避難者×0.85％
12　口腔シートは、高齢者(65歳以上）及び小児各人に1ﾊﾟｯｸ（避難者×50%)
13　携帯トイレとは、簡易便座を含まない凝固剤・便袋がセットになった物をいう。
14　簡易トイレとは、段ボール等で応急的に布設する便座をいい、算定はスフィア基準（40人に1基）による。既存の便座やマンホールトイレの活用を考慮する。
15　トイレットペーパーは１人２日１巻、ウエットティッシュは、高齢者、女性、小児に各１パック（避難者の7０％）
16　新生児等の避難者数は、2020年から24年の出生者数の平均（74人）と0.37（被災係数：5060/13,573）から27人と仮定
17　1日のおむつ取り換え回数目安
　　新生児用（15回）、3~５か月S（10回）、6～９か月M(８回)、9～12か月L（6回）、1歳LL(５回)、１～3歳Big（4回）
　　おしりふき1人2パック
18　大人用おむつの数量には、後期高齢化者の割合（20%)及び日本人の体格サイズの偏差に基づき算定した。
19　尿取りパットは、高齢者全般から後期高齢者の方を除き算定した。
女性用品関連
算定の前提は下記のとおり
１　女性用品にかかわるものの算定
　　令和8年5月末現在の人口により算出
　　総人口：13,571人（男性：6,384人（48％）、女性：7,187人（52％））
　　全女性人口のうち対象となる年齢（12歳から50歳）の割合算出（2,276人：31.66％）
　　女性全体のうちの上地区の女性の割合（2,064人：29％）
　　女性全体のうちの免田地区の女性の割合（2,698人：38％）
　　女性全体のうちの岡原地区の女性の割合（1,106人：16％）
　　女性全体のうちの須恵地区の女性の割合（568人：7％）
　　女性全体のうちの深田地区の女性の割合（751人：10％）
２　当日生理の確率
　　28日周期の場合　5日/28日（17.9％）
　　5日間避難の場合は全員分全員分準備する必要がある</t>
    </r>
    <rPh sb="154" eb="156">
      <t>セイヒン</t>
    </rPh>
    <rPh sb="157" eb="159">
      <t>ホゾン</t>
    </rPh>
    <rPh sb="159" eb="161">
      <t>キカン</t>
    </rPh>
    <rPh sb="172" eb="174">
      <t>シュウキ</t>
    </rPh>
    <rPh sb="177" eb="178">
      <t>タ</t>
    </rPh>
    <rPh sb="179" eb="181">
      <t>ジョウキョウ</t>
    </rPh>
    <rPh sb="182" eb="183">
      <t>フ</t>
    </rPh>
    <rPh sb="185" eb="187">
      <t>スウネン</t>
    </rPh>
    <rPh sb="191" eb="193">
      <t>チクジ</t>
    </rPh>
    <rPh sb="193" eb="195">
      <t>セイビ</t>
    </rPh>
    <rPh sb="195" eb="197">
      <t>ヨテイ</t>
    </rPh>
    <rPh sb="265" eb="266">
      <t>ニチ</t>
    </rPh>
    <rPh sb="266" eb="267">
      <t>メ</t>
    </rPh>
    <rPh sb="268" eb="269">
      <t>アサ</t>
    </rPh>
    <rPh sb="270" eb="272">
      <t>ヤサイ</t>
    </rPh>
    <rPh sb="284" eb="285">
      <t>ヒル</t>
    </rPh>
    <rPh sb="286" eb="287">
      <t>ヨル</t>
    </rPh>
    <rPh sb="289" eb="290">
      <t>カ</t>
    </rPh>
    <rPh sb="290" eb="291">
      <t>マイ</t>
    </rPh>
    <rPh sb="292" eb="293">
      <t>コ</t>
    </rPh>
    <rPh sb="300" eb="303">
      <t>ミソシル</t>
    </rPh>
    <rPh sb="307" eb="308">
      <t>ニチ</t>
    </rPh>
    <rPh sb="308" eb="309">
      <t>メ</t>
    </rPh>
    <rPh sb="310" eb="311">
      <t>アサ</t>
    </rPh>
    <rPh sb="312" eb="313">
      <t>カン</t>
    </rPh>
    <rPh sb="316" eb="318">
      <t>ヤサイ</t>
    </rPh>
    <rPh sb="323" eb="324">
      <t>ヒル</t>
    </rPh>
    <rPh sb="342" eb="343">
      <t>ヨル</t>
    </rPh>
    <rPh sb="350" eb="352">
      <t>ヤサイ</t>
    </rPh>
    <rPh sb="360" eb="361">
      <t>ニチ</t>
    </rPh>
    <rPh sb="361" eb="362">
      <t>メ</t>
    </rPh>
    <rPh sb="363" eb="364">
      <t>アサ</t>
    </rPh>
    <rPh sb="401" eb="403">
      <t>ショクモツ</t>
    </rPh>
    <rPh sb="410" eb="411">
      <t>ユウ</t>
    </rPh>
    <rPh sb="413" eb="414">
      <t>ニン</t>
    </rPh>
    <rPh sb="414" eb="415">
      <t>スウ</t>
    </rPh>
    <rPh sb="417" eb="420">
      <t>コウロウショウ</t>
    </rPh>
    <rPh sb="425" eb="427">
      <t>ジンコウ</t>
    </rPh>
    <rPh sb="431" eb="433">
      <t>ソウテイ</t>
    </rPh>
    <rPh sb="449" eb="450">
      <t>ニン</t>
    </rPh>
    <rPh sb="450" eb="451">
      <t>ヨウ</t>
    </rPh>
    <rPh sb="453" eb="454">
      <t>マイ</t>
    </rPh>
    <rPh sb="457" eb="458">
      <t>ニン</t>
    </rPh>
    <rPh sb="458" eb="459">
      <t>ヨウ</t>
    </rPh>
    <rPh sb="462" eb="463">
      <t>マイ</t>
    </rPh>
    <rPh sb="465" eb="468">
      <t>ヘイキンチ</t>
    </rPh>
    <rPh sb="471" eb="472">
      <t>マイ</t>
    </rPh>
    <rPh sb="474" eb="476">
      <t>キジュン</t>
    </rPh>
    <rPh sb="477" eb="479">
      <t>サンテイ</t>
    </rPh>
    <rPh sb="497" eb="499">
      <t>シンキ</t>
    </rPh>
    <rPh sb="499" eb="501">
      <t>コウニュウ</t>
    </rPh>
    <rPh sb="505" eb="508">
      <t>オクナイヨウ</t>
    </rPh>
    <rPh sb="517" eb="519">
      <t>コウシン</t>
    </rPh>
    <rPh sb="528" eb="530">
      <t>モウフ</t>
    </rPh>
    <rPh sb="532" eb="534">
      <t>ヒトリ</t>
    </rPh>
    <rPh sb="540" eb="542">
      <t>スイショウ</t>
    </rPh>
    <rPh sb="548" eb="550">
      <t>サンテイ</t>
    </rPh>
    <rPh sb="553" eb="554">
      <t>カン</t>
    </rPh>
    <rPh sb="556" eb="558">
      <t>キジュン</t>
    </rPh>
    <rPh sb="560" eb="561">
      <t>ツギ</t>
    </rPh>
    <rPh sb="568" eb="570">
      <t>クミタテ</t>
    </rPh>
    <rPh sb="575" eb="577">
      <t>ハッポウ</t>
    </rPh>
    <rPh sb="582" eb="583">
      <t>セイ</t>
    </rPh>
    <rPh sb="585" eb="587">
      <t>コウキ</t>
    </rPh>
    <rPh sb="587" eb="591">
      <t>コウレイシャヨウ</t>
    </rPh>
    <rPh sb="592" eb="595">
      <t>ヒナンシャ</t>
    </rPh>
    <rPh sb="601" eb="604">
      <t>タモクテキ</t>
    </rPh>
    <rPh sb="604" eb="606">
      <t>カンイ</t>
    </rPh>
    <rPh sb="611" eb="612">
      <t>ヨウ</t>
    </rPh>
    <rPh sb="612" eb="616">
      <t>カイゴシャヨウ</t>
    </rPh>
    <rPh sb="617" eb="619">
      <t>フクシ</t>
    </rPh>
    <rPh sb="619" eb="622">
      <t>ヒナンジョ</t>
    </rPh>
    <rPh sb="628" eb="629">
      <t>オ</t>
    </rPh>
    <rPh sb="630" eb="631">
      <t>タタ</t>
    </rPh>
    <rPh sb="637" eb="640">
      <t>コウレイシャ</t>
    </rPh>
    <rPh sb="646" eb="647">
      <t>サイ</t>
    </rPh>
    <rPh sb="649" eb="652">
      <t>ヒナンシャ</t>
    </rPh>
    <rPh sb="673" eb="675">
      <t>ビチク</t>
    </rPh>
    <rPh sb="675" eb="676">
      <t>ヨウ</t>
    </rPh>
    <rPh sb="682" eb="684">
      <t>カンイ</t>
    </rPh>
    <rPh sb="688" eb="690">
      <t>イッパン</t>
    </rPh>
    <rPh sb="690" eb="693">
      <t>ヒナンシャ</t>
    </rPh>
    <rPh sb="693" eb="694">
      <t>ヨウ</t>
    </rPh>
    <rPh sb="707" eb="708">
      <t>ニン</t>
    </rPh>
    <rPh sb="710" eb="711">
      <t>ダイ</t>
    </rPh>
    <rPh sb="717" eb="718">
      <t>ダイ</t>
    </rPh>
    <rPh sb="722" eb="723">
      <t>ホン</t>
    </rPh>
    <rPh sb="723" eb="725">
      <t>ソナエツケ</t>
    </rPh>
    <rPh sb="726" eb="728">
      <t>サンテイ</t>
    </rPh>
    <rPh sb="732" eb="733">
      <t>ハ</t>
    </rPh>
    <rPh sb="733" eb="734">
      <t>ミガ</t>
    </rPh>
    <rPh sb="735" eb="736">
      <t>コ</t>
    </rPh>
    <rPh sb="741" eb="743">
      <t>コジン</t>
    </rPh>
    <rPh sb="743" eb="745">
      <t>ケイコウ</t>
    </rPh>
    <rPh sb="746" eb="748">
      <t>キホン</t>
    </rPh>
    <rPh sb="749" eb="750">
      <t>ハ</t>
    </rPh>
    <rPh sb="754" eb="755">
      <t>ゲン</t>
    </rPh>
    <rPh sb="755" eb="757">
      <t>ホユウ</t>
    </rPh>
    <rPh sb="757" eb="758">
      <t>ブン</t>
    </rPh>
    <rPh sb="759" eb="761">
      <t>ニンズウ</t>
    </rPh>
    <rPh sb="761" eb="763">
      <t>ワリアイ</t>
    </rPh>
    <rPh sb="764" eb="765">
      <t>ヒ</t>
    </rPh>
    <rPh sb="767" eb="771">
      <t>カクヒナンジョ</t>
    </rPh>
    <rPh sb="772" eb="774">
      <t>ビチク</t>
    </rPh>
    <rPh sb="778" eb="781">
      <t>コドモヨウ</t>
    </rPh>
    <rPh sb="781" eb="783">
      <t>ハミガ</t>
    </rPh>
    <rPh sb="784" eb="785">
      <t>トウ</t>
    </rPh>
    <rPh sb="786" eb="788">
      <t>サンテイ</t>
    </rPh>
    <rPh sb="789" eb="791">
      <t>ジンコウ</t>
    </rPh>
    <rPh sb="801" eb="803">
      <t>コウクウ</t>
    </rPh>
    <rPh sb="817" eb="818">
      <t>サイ</t>
    </rPh>
    <rPh sb="818" eb="820">
      <t>イジョウ</t>
    </rPh>
    <rPh sb="821" eb="822">
      <t>オヨ</t>
    </rPh>
    <rPh sb="823" eb="825">
      <t>ショウニ</t>
    </rPh>
    <rPh sb="825" eb="826">
      <t>カク</t>
    </rPh>
    <rPh sb="826" eb="827">
      <t>ジン</t>
    </rPh>
    <rPh sb="834" eb="837">
      <t>ヒナンシャ</t>
    </rPh>
    <rPh sb="846" eb="848">
      <t>ケイタイ</t>
    </rPh>
    <rPh sb="854" eb="856">
      <t>カンイ</t>
    </rPh>
    <rPh sb="856" eb="858">
      <t>ベンザ</t>
    </rPh>
    <rPh sb="859" eb="860">
      <t>フク</t>
    </rPh>
    <rPh sb="863" eb="865">
      <t>ギョウコ</t>
    </rPh>
    <rPh sb="865" eb="866">
      <t>ザイ</t>
    </rPh>
    <rPh sb="867" eb="868">
      <t>ベン</t>
    </rPh>
    <rPh sb="868" eb="869">
      <t>フクロ</t>
    </rPh>
    <rPh sb="877" eb="878">
      <t>モノ</t>
    </rPh>
    <rPh sb="886" eb="888">
      <t>カンイ</t>
    </rPh>
    <rPh sb="894" eb="895">
      <t>ダン</t>
    </rPh>
    <rPh sb="898" eb="899">
      <t>トウ</t>
    </rPh>
    <rPh sb="900" eb="903">
      <t>オウキュウテキ</t>
    </rPh>
    <rPh sb="904" eb="906">
      <t>フセツ</t>
    </rPh>
    <rPh sb="908" eb="910">
      <t>ベンザ</t>
    </rPh>
    <rPh sb="914" eb="916">
      <t>サンテイ</t>
    </rPh>
    <rPh sb="921" eb="923">
      <t>キジュン</t>
    </rPh>
    <rPh sb="926" eb="927">
      <t>ニン</t>
    </rPh>
    <rPh sb="974" eb="976">
      <t>イチニチ</t>
    </rPh>
    <rPh sb="977" eb="978">
      <t>マ</t>
    </rPh>
    <rPh sb="990" eb="993">
      <t>コウレイシャ</t>
    </rPh>
    <rPh sb="994" eb="996">
      <t>ジョセイ</t>
    </rPh>
    <rPh sb="997" eb="999">
      <t>ショウニ</t>
    </rPh>
    <rPh sb="1000" eb="1001">
      <t>カク</t>
    </rPh>
    <rPh sb="1006" eb="1009">
      <t>ヒナンシャ</t>
    </rPh>
    <rPh sb="1018" eb="1021">
      <t>シンセイジ</t>
    </rPh>
    <rPh sb="1021" eb="1022">
      <t>トウ</t>
    </rPh>
    <rPh sb="1023" eb="1026">
      <t>ヒナンシャ</t>
    </rPh>
    <rPh sb="1026" eb="1027">
      <t>スウ</t>
    </rPh>
    <rPh sb="1033" eb="1034">
      <t>ネン</t>
    </rPh>
    <rPh sb="1038" eb="1039">
      <t>ネン</t>
    </rPh>
    <rPh sb="1040" eb="1042">
      <t>シュッセイ</t>
    </rPh>
    <rPh sb="1042" eb="1043">
      <t>シャ</t>
    </rPh>
    <rPh sb="1043" eb="1044">
      <t>スウ</t>
    </rPh>
    <rPh sb="1045" eb="1047">
      <t>ヘイキン</t>
    </rPh>
    <rPh sb="1050" eb="1051">
      <t>ニン</t>
    </rPh>
    <rPh sb="1058" eb="1060">
      <t>ヒサイ</t>
    </rPh>
    <rPh sb="1060" eb="1062">
      <t>ケイスウ</t>
    </rPh>
    <rPh sb="1079" eb="1080">
      <t>ニン</t>
    </rPh>
    <rPh sb="1081" eb="1083">
      <t>カテイ</t>
    </rPh>
    <rPh sb="1088" eb="1089">
      <t>ニチ</t>
    </rPh>
    <rPh sb="1093" eb="1094">
      <t>ト</t>
    </rPh>
    <rPh sb="1095" eb="1096">
      <t>カ</t>
    </rPh>
    <rPh sb="1097" eb="1099">
      <t>カイスウ</t>
    </rPh>
    <rPh sb="1099" eb="1101">
      <t>メヤス</t>
    </rPh>
    <rPh sb="1104" eb="1107">
      <t>シンセイジ</t>
    </rPh>
    <rPh sb="1107" eb="1108">
      <t>ヨウ</t>
    </rPh>
    <rPh sb="1111" eb="1112">
      <t>カイ</t>
    </rPh>
    <rPh sb="1118" eb="1119">
      <t>ゲツ</t>
    </rPh>
    <rPh sb="1123" eb="1124">
      <t>カイ</t>
    </rPh>
    <rPh sb="1130" eb="1131">
      <t>ゲツ</t>
    </rPh>
    <rPh sb="1134" eb="1135">
      <t>カイ</t>
    </rPh>
    <rPh sb="1142" eb="1143">
      <t>ゲツ</t>
    </rPh>
    <rPh sb="1146" eb="1147">
      <t>カイ</t>
    </rPh>
    <rPh sb="1158" eb="1159">
      <t>カイ</t>
    </rPh>
    <rPh sb="1164" eb="1165">
      <t>サイ</t>
    </rPh>
    <rPh sb="1169" eb="1170">
      <t>サイ</t>
    </rPh>
    <rPh sb="1178" eb="1179">
      <t>ニン</t>
    </rPh>
    <rPh sb="1187" eb="1190">
      <t>オトナヨウ</t>
    </rPh>
    <rPh sb="1194" eb="1196">
      <t>スウリョウ</t>
    </rPh>
    <rPh sb="1199" eb="1201">
      <t>コウキ</t>
    </rPh>
    <rPh sb="1201" eb="1204">
      <t>コウレイカ</t>
    </rPh>
    <rPh sb="1204" eb="1205">
      <t>シャ</t>
    </rPh>
    <rPh sb="1206" eb="1208">
      <t>ワリアイ</t>
    </rPh>
    <rPh sb="1213" eb="1214">
      <t>オヨ</t>
    </rPh>
    <rPh sb="1215" eb="1218">
      <t>ニッポンジン</t>
    </rPh>
    <rPh sb="1219" eb="1221">
      <t>タイカク</t>
    </rPh>
    <rPh sb="1225" eb="1227">
      <t>ヘンサ</t>
    </rPh>
    <rPh sb="1228" eb="1229">
      <t>モト</t>
    </rPh>
    <rPh sb="1231" eb="1233">
      <t>サンテイ</t>
    </rPh>
    <rPh sb="1240" eb="1241">
      <t>ニョウ</t>
    </rPh>
    <rPh sb="1241" eb="1242">
      <t>ト</t>
    </rPh>
    <rPh sb="1248" eb="1251">
      <t>コウレイシャ</t>
    </rPh>
    <rPh sb="1251" eb="1253">
      <t>ゼンパン</t>
    </rPh>
    <rPh sb="1255" eb="1257">
      <t>コウキ</t>
    </rPh>
    <rPh sb="1257" eb="1260">
      <t>コウレイシャ</t>
    </rPh>
    <rPh sb="1261" eb="1262">
      <t>カタ</t>
    </rPh>
    <rPh sb="1263" eb="1264">
      <t>ノゾ</t>
    </rPh>
    <rPh sb="1265" eb="1267">
      <t>サンテイ</t>
    </rPh>
    <rPh sb="1272" eb="1274">
      <t>ジョセイ</t>
    </rPh>
    <rPh sb="1274" eb="1275">
      <t>ヨウ</t>
    </rPh>
    <rPh sb="1275" eb="1276">
      <t>ヒン</t>
    </rPh>
    <rPh sb="1276" eb="1278">
      <t>カンレン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</si>
</sst>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0_ ;[Red]\-#,##0.00\ "/>
  </numFmts>
  <fonts count="24"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6"/>
      <color theme="1"/>
      <name val="游ゴシック"/>
      <family val="2"/>
      <charset val="128"/>
      <scheme val="minor"/>
    </font>
    <font>
      <sz val="20"/>
      <color theme="1"/>
      <name val="游ゴシック"/>
      <family val="2"/>
      <charset val="128"/>
      <scheme val="minor"/>
    </font>
    <font>
      <sz val="16"/>
      <color theme="1"/>
      <name val="游ゴシック"/>
      <family val="3"/>
      <charset val="128"/>
      <scheme val="minor"/>
    </font>
    <font>
      <b/>
      <sz val="16"/>
      <color theme="1"/>
      <name val="游ゴシック"/>
      <family val="3"/>
      <charset val="128"/>
      <scheme val="minor"/>
    </font>
    <font>
      <b/>
      <sz val="16"/>
      <color rgb="FFFF0000"/>
      <name val="游ゴシック"/>
      <family val="3"/>
      <charset val="128"/>
      <scheme val="minor"/>
    </font>
    <font>
      <b/>
      <i/>
      <sz val="16"/>
      <color theme="1"/>
      <name val="游ゴシック"/>
      <family val="3"/>
      <charset val="128"/>
      <scheme val="minor"/>
    </font>
    <font>
      <sz val="11"/>
      <color theme="1"/>
      <name val="游ゴシック"/>
      <family val="2"/>
      <charset val="128"/>
      <scheme val="minor"/>
    </font>
    <font>
      <b/>
      <sz val="11"/>
      <color rgb="FFFF0000"/>
      <name val="游ゴシック"/>
      <family val="3"/>
      <charset val="128"/>
      <scheme val="minor"/>
    </font>
    <font>
      <sz val="12"/>
      <color theme="1"/>
      <name val="游ゴシック"/>
      <family val="3"/>
      <charset val="128"/>
      <scheme val="minor"/>
    </font>
    <font>
      <b/>
      <sz val="14"/>
      <color rgb="FFFF0000"/>
      <name val="游ゴシック"/>
      <family val="3"/>
      <charset val="128"/>
      <scheme val="minor"/>
    </font>
    <font>
      <b/>
      <sz val="16"/>
      <name val="游ゴシック"/>
      <family val="3"/>
      <charset val="128"/>
      <scheme val="minor"/>
    </font>
    <font>
      <b/>
      <i/>
      <sz val="16"/>
      <name val="游ゴシック"/>
      <family val="3"/>
      <charset val="128"/>
      <scheme val="minor"/>
    </font>
    <font>
      <sz val="14"/>
      <name val="游ゴシック"/>
      <family val="3"/>
      <charset val="128"/>
      <scheme val="minor"/>
    </font>
    <font>
      <sz val="16"/>
      <name val="游ゴシック"/>
      <family val="3"/>
      <charset val="128"/>
      <scheme val="minor"/>
    </font>
    <font>
      <sz val="13"/>
      <color theme="1"/>
      <name val="游ゴシック"/>
      <family val="3"/>
      <charset val="128"/>
      <scheme val="minor"/>
    </font>
    <font>
      <i/>
      <sz val="16"/>
      <name val="游ゴシック"/>
      <family val="3"/>
      <charset val="128"/>
      <scheme val="minor"/>
    </font>
    <font>
      <b/>
      <sz val="11"/>
      <color theme="1"/>
      <name val="游ゴシック"/>
      <family val="3"/>
      <charset val="128"/>
      <scheme val="minor"/>
    </font>
    <font>
      <sz val="12"/>
      <name val="游ゴシック"/>
      <family val="3"/>
      <charset val="128"/>
      <scheme val="minor"/>
    </font>
    <font>
      <b/>
      <sz val="14"/>
      <color theme="1"/>
      <name val="游ゴシック"/>
      <family val="3"/>
      <charset val="128"/>
      <scheme val="minor"/>
    </font>
    <font>
      <u/>
      <sz val="11"/>
      <color theme="1"/>
      <name val="游ゴシック"/>
      <family val="3"/>
      <charset val="128"/>
      <scheme val="minor"/>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3" tint="0.89999084444715716"/>
        <bgColor indexed="64"/>
      </patternFill>
    </fill>
    <fill>
      <patternFill patternType="solid">
        <fgColor rgb="FFFFCCFF"/>
        <bgColor indexed="64"/>
      </patternFill>
    </fill>
    <fill>
      <patternFill patternType="solid">
        <fgColor rgb="FFFFFFCC"/>
        <bgColor indexed="64"/>
      </patternFill>
    </fill>
    <fill>
      <patternFill patternType="solid">
        <fgColor rgb="FFDECDC4"/>
        <bgColor indexed="64"/>
      </patternFill>
    </fill>
  </fills>
  <borders count="115">
    <border>
      <left/>
      <right/>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style="thin">
        <color indexed="64"/>
      </right>
      <top style="dotted">
        <color indexed="64"/>
      </top>
      <bottom style="thin">
        <color indexed="64"/>
      </bottom>
      <diagonal/>
    </border>
    <border>
      <left/>
      <right style="medium">
        <color indexed="64"/>
      </right>
      <top style="dotted">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dotted">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style="thin">
        <color indexed="64"/>
      </left>
      <right/>
      <top style="dotted">
        <color indexed="64"/>
      </top>
      <bottom style="medium">
        <color indexed="64"/>
      </bottom>
      <diagonal/>
    </border>
    <border>
      <left style="thin">
        <color indexed="64"/>
      </left>
      <right/>
      <top style="thin">
        <color indexed="64"/>
      </top>
      <bottom style="dotted">
        <color indexed="64"/>
      </bottom>
      <diagonal/>
    </border>
    <border>
      <left/>
      <right style="thin">
        <color indexed="64"/>
      </right>
      <top style="dotted">
        <color indexed="64"/>
      </top>
      <bottom style="medium">
        <color indexed="64"/>
      </bottom>
      <diagonal/>
    </border>
    <border>
      <left/>
      <right style="thin">
        <color indexed="64"/>
      </right>
      <top style="thin">
        <color indexed="64"/>
      </top>
      <bottom style="dotted">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dotted">
        <color indexed="64"/>
      </top>
      <bottom/>
      <diagonal/>
    </border>
    <border>
      <left style="thin">
        <color indexed="64"/>
      </left>
      <right/>
      <top style="dotted">
        <color indexed="64"/>
      </top>
      <bottom/>
      <diagonal/>
    </border>
    <border>
      <left style="medium">
        <color indexed="64"/>
      </left>
      <right style="medium">
        <color indexed="64"/>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right/>
      <top style="medium">
        <color indexed="64"/>
      </top>
      <bottom style="dotted">
        <color indexed="64"/>
      </bottom>
      <diagonal/>
    </border>
    <border>
      <left/>
      <right/>
      <top style="dotted">
        <color indexed="64"/>
      </top>
      <bottom style="medium">
        <color indexed="64"/>
      </bottom>
      <diagonal/>
    </border>
    <border>
      <left/>
      <right/>
      <top style="dotted">
        <color indexed="64"/>
      </top>
      <bottom style="thin">
        <color indexed="64"/>
      </bottom>
      <diagonal/>
    </border>
    <border>
      <left/>
      <right/>
      <top style="dotted">
        <color indexed="64"/>
      </top>
      <bottom/>
      <diagonal/>
    </border>
    <border>
      <left/>
      <right/>
      <top style="thin">
        <color indexed="64"/>
      </top>
      <bottom style="dotted">
        <color indexed="64"/>
      </bottom>
      <diagonal/>
    </border>
    <border>
      <left/>
      <right/>
      <top/>
      <bottom style="medium">
        <color indexed="64"/>
      </bottom>
      <diagonal/>
    </border>
    <border>
      <left/>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dotted">
        <color indexed="64"/>
      </top>
      <bottom style="medium">
        <color indexed="64"/>
      </bottom>
      <diagonal/>
    </border>
    <border>
      <left style="thin">
        <color indexed="64"/>
      </left>
      <right style="medium">
        <color indexed="64"/>
      </right>
      <top style="dotted">
        <color indexed="64"/>
      </top>
      <bottom style="thin">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bottom style="dotted">
        <color indexed="64"/>
      </bottom>
      <diagonal/>
    </border>
    <border>
      <left style="thin">
        <color indexed="64"/>
      </left>
      <right/>
      <top/>
      <bottom style="dotted">
        <color indexed="64"/>
      </bottom>
      <diagonal/>
    </border>
    <border>
      <left style="medium">
        <color indexed="64"/>
      </left>
      <right style="medium">
        <color indexed="64"/>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right/>
      <top/>
      <bottom style="dotted">
        <color indexed="64"/>
      </bottom>
      <diagonal/>
    </border>
    <border>
      <left style="medium">
        <color indexed="64"/>
      </left>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dotted">
        <color indexed="64"/>
      </top>
      <bottom style="thin">
        <color indexed="64"/>
      </bottom>
      <diagonal/>
    </border>
    <border>
      <left style="medium">
        <color indexed="64"/>
      </left>
      <right/>
      <top style="thin">
        <color indexed="64"/>
      </top>
      <bottom style="dotted">
        <color indexed="64"/>
      </bottom>
      <diagonal/>
    </border>
    <border>
      <left style="thin">
        <color indexed="64"/>
      </left>
      <right style="medium">
        <color indexed="64"/>
      </right>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489">
    <xf numFmtId="0" fontId="0" fillId="0" borderId="0" xfId="0">
      <alignment vertical="center"/>
    </xf>
    <xf numFmtId="0" fontId="3" fillId="0" borderId="0" xfId="0" applyFont="1">
      <alignment vertical="center"/>
    </xf>
    <xf numFmtId="0" fontId="5" fillId="0" borderId="0" xfId="0" applyFont="1" applyAlignment="1">
      <alignment horizontal="center" vertical="center"/>
    </xf>
    <xf numFmtId="58" fontId="4" fillId="0" borderId="0" xfId="0" applyNumberFormat="1" applyFont="1" applyBorder="1" applyAlignment="1">
      <alignment vertical="center"/>
    </xf>
    <xf numFmtId="0" fontId="4" fillId="0" borderId="0" xfId="0" applyFont="1" applyBorder="1" applyAlignment="1">
      <alignment vertical="center"/>
    </xf>
    <xf numFmtId="0" fontId="2" fillId="0" borderId="0" xfId="0" applyFont="1" applyBorder="1" applyAlignment="1">
      <alignment horizontal="center" vertical="center"/>
    </xf>
    <xf numFmtId="0" fontId="3" fillId="0" borderId="0" xfId="0" applyFont="1" applyBorder="1" applyAlignment="1">
      <alignment horizontal="center" vertical="center" wrapText="1"/>
    </xf>
    <xf numFmtId="0" fontId="5" fillId="0" borderId="0" xfId="0" applyFont="1" applyBorder="1" applyAlignment="1">
      <alignment horizontal="center" vertical="center"/>
    </xf>
    <xf numFmtId="0" fontId="0" fillId="0" borderId="0" xfId="0" applyBorder="1">
      <alignment vertical="center"/>
    </xf>
    <xf numFmtId="0" fontId="4" fillId="0" borderId="0" xfId="0" applyFont="1">
      <alignment vertical="center"/>
    </xf>
    <xf numFmtId="0" fontId="6" fillId="0" borderId="0" xfId="0" applyFont="1">
      <alignment vertical="center"/>
    </xf>
    <xf numFmtId="0" fontId="6" fillId="0" borderId="30" xfId="0" applyFont="1" applyBorder="1" applyAlignment="1">
      <alignment horizontal="center" vertical="center"/>
    </xf>
    <xf numFmtId="0" fontId="6" fillId="0" borderId="38" xfId="0" applyFont="1" applyBorder="1" applyAlignment="1">
      <alignment horizontal="center" vertical="center" wrapText="1"/>
    </xf>
    <xf numFmtId="0" fontId="6" fillId="0" borderId="11" xfId="0" applyFont="1" applyBorder="1" applyAlignment="1">
      <alignment horizontal="center" vertical="center"/>
    </xf>
    <xf numFmtId="0" fontId="6" fillId="0" borderId="1" xfId="0" applyFont="1" applyBorder="1" applyAlignment="1">
      <alignment vertical="center" wrapText="1"/>
    </xf>
    <xf numFmtId="0" fontId="6" fillId="0" borderId="40" xfId="0" applyFont="1" applyBorder="1" applyAlignment="1">
      <alignment vertical="center" wrapText="1"/>
    </xf>
    <xf numFmtId="0" fontId="6" fillId="0" borderId="2" xfId="0" applyFont="1" applyBorder="1" applyAlignment="1">
      <alignment vertical="center" wrapText="1"/>
    </xf>
    <xf numFmtId="0" fontId="6" fillId="0" borderId="31" xfId="0" applyFont="1" applyBorder="1" applyAlignment="1">
      <alignment vertical="center" wrapText="1"/>
    </xf>
    <xf numFmtId="0" fontId="6" fillId="0" borderId="29" xfId="0" applyFont="1" applyBorder="1" applyAlignment="1">
      <alignment horizontal="left" vertical="center" wrapText="1"/>
    </xf>
    <xf numFmtId="176" fontId="9" fillId="4" borderId="14" xfId="0" applyNumberFormat="1" applyFont="1" applyFill="1" applyBorder="1">
      <alignment vertical="center"/>
    </xf>
    <xf numFmtId="176" fontId="6" fillId="0" borderId="18" xfId="0" applyNumberFormat="1" applyFont="1" applyBorder="1">
      <alignment vertical="center"/>
    </xf>
    <xf numFmtId="176" fontId="6" fillId="0" borderId="33" xfId="0" applyNumberFormat="1" applyFont="1" applyBorder="1">
      <alignment vertical="center"/>
    </xf>
    <xf numFmtId="176" fontId="6" fillId="0" borderId="42" xfId="0" applyNumberFormat="1" applyFont="1" applyBorder="1">
      <alignment vertical="center"/>
    </xf>
    <xf numFmtId="176" fontId="6" fillId="0" borderId="4" xfId="0" applyNumberFormat="1" applyFont="1" applyBorder="1">
      <alignment vertical="center"/>
    </xf>
    <xf numFmtId="176" fontId="6" fillId="0" borderId="46" xfId="0" applyNumberFormat="1" applyFont="1" applyBorder="1">
      <alignment vertical="center"/>
    </xf>
    <xf numFmtId="176" fontId="9" fillId="2" borderId="14" xfId="0" applyNumberFormat="1" applyFont="1" applyFill="1" applyBorder="1">
      <alignment vertical="center"/>
    </xf>
    <xf numFmtId="176" fontId="9" fillId="2" borderId="32" xfId="0" applyNumberFormat="1" applyFont="1" applyFill="1" applyBorder="1">
      <alignment vertical="center"/>
    </xf>
    <xf numFmtId="176" fontId="9" fillId="2" borderId="39" xfId="0" applyNumberFormat="1" applyFont="1" applyFill="1" applyBorder="1">
      <alignment vertical="center"/>
    </xf>
    <xf numFmtId="176" fontId="9" fillId="2" borderId="20" xfId="0" applyNumberFormat="1" applyFont="1" applyFill="1" applyBorder="1">
      <alignment vertical="center"/>
    </xf>
    <xf numFmtId="176" fontId="9" fillId="2" borderId="45" xfId="0" applyNumberFormat="1" applyFont="1" applyFill="1" applyBorder="1">
      <alignment vertical="center"/>
    </xf>
    <xf numFmtId="176" fontId="9" fillId="2" borderId="17" xfId="0" applyNumberFormat="1" applyFont="1" applyFill="1" applyBorder="1">
      <alignment vertical="center"/>
    </xf>
    <xf numFmtId="176" fontId="9" fillId="2" borderId="43" xfId="0" applyNumberFormat="1" applyFont="1" applyFill="1" applyBorder="1">
      <alignment vertical="center"/>
    </xf>
    <xf numFmtId="176" fontId="9" fillId="2" borderId="15" xfId="0" applyNumberFormat="1" applyFont="1" applyFill="1" applyBorder="1">
      <alignment vertical="center"/>
    </xf>
    <xf numFmtId="176" fontId="9" fillId="5" borderId="14" xfId="0" applyNumberFormat="1" applyFont="1" applyFill="1" applyBorder="1">
      <alignment vertical="center"/>
    </xf>
    <xf numFmtId="176" fontId="9" fillId="5" borderId="32" xfId="0" applyNumberFormat="1" applyFont="1" applyFill="1" applyBorder="1">
      <alignment vertical="center"/>
    </xf>
    <xf numFmtId="176" fontId="9" fillId="5" borderId="39" xfId="0" applyNumberFormat="1" applyFont="1" applyFill="1" applyBorder="1">
      <alignment vertical="center"/>
    </xf>
    <xf numFmtId="176" fontId="9" fillId="5" borderId="20" xfId="0" applyNumberFormat="1" applyFont="1" applyFill="1" applyBorder="1">
      <alignment vertical="center"/>
    </xf>
    <xf numFmtId="176" fontId="9" fillId="5" borderId="45" xfId="0" applyNumberFormat="1" applyFont="1" applyFill="1" applyBorder="1">
      <alignment vertical="center"/>
    </xf>
    <xf numFmtId="176" fontId="6" fillId="0" borderId="65" xfId="0" applyNumberFormat="1" applyFont="1" applyBorder="1">
      <alignment vertical="center"/>
    </xf>
    <xf numFmtId="176" fontId="6" fillId="0" borderId="66" xfId="0" applyNumberFormat="1" applyFont="1" applyBorder="1">
      <alignment vertical="center"/>
    </xf>
    <xf numFmtId="176" fontId="6" fillId="0" borderId="64" xfId="0" applyNumberFormat="1" applyFont="1" applyBorder="1">
      <alignment vertical="center"/>
    </xf>
    <xf numFmtId="176" fontId="6" fillId="0" borderId="67" xfId="0" applyNumberFormat="1" applyFont="1" applyBorder="1">
      <alignment vertical="center"/>
    </xf>
    <xf numFmtId="176" fontId="6" fillId="0" borderId="8" xfId="0" applyNumberFormat="1" applyFont="1" applyBorder="1">
      <alignment vertical="center"/>
    </xf>
    <xf numFmtId="176" fontId="6" fillId="0" borderId="21" xfId="0" applyNumberFormat="1" applyFont="1" applyBorder="1">
      <alignment vertical="center"/>
    </xf>
    <xf numFmtId="176" fontId="6" fillId="0" borderId="41" xfId="0" applyNumberFormat="1" applyFont="1" applyBorder="1">
      <alignment vertical="center"/>
    </xf>
    <xf numFmtId="176" fontId="6" fillId="0" borderId="9" xfId="0" applyNumberFormat="1" applyFont="1" applyBorder="1">
      <alignment vertical="center"/>
    </xf>
    <xf numFmtId="176" fontId="6" fillId="0" borderId="22" xfId="0" applyNumberFormat="1" applyFont="1" applyBorder="1">
      <alignment vertical="center"/>
    </xf>
    <xf numFmtId="176" fontId="9" fillId="4" borderId="32" xfId="0" applyNumberFormat="1" applyFont="1" applyFill="1" applyBorder="1">
      <alignment vertical="center"/>
    </xf>
    <xf numFmtId="176" fontId="9" fillId="4" borderId="39" xfId="0" applyNumberFormat="1" applyFont="1" applyFill="1" applyBorder="1">
      <alignment vertical="center"/>
    </xf>
    <xf numFmtId="176" fontId="9" fillId="4" borderId="20" xfId="0" applyNumberFormat="1" applyFont="1" applyFill="1" applyBorder="1">
      <alignment vertical="center"/>
    </xf>
    <xf numFmtId="176" fontId="9" fillId="4" borderId="45" xfId="0" applyNumberFormat="1" applyFont="1" applyFill="1" applyBorder="1">
      <alignment vertical="center"/>
    </xf>
    <xf numFmtId="176" fontId="7" fillId="0" borderId="18" xfId="0" applyNumberFormat="1" applyFont="1" applyBorder="1">
      <alignment vertical="center"/>
    </xf>
    <xf numFmtId="176" fontId="7" fillId="0" borderId="33" xfId="0" applyNumberFormat="1" applyFont="1" applyBorder="1">
      <alignment vertical="center"/>
    </xf>
    <xf numFmtId="176" fontId="7" fillId="0" borderId="42" xfId="0" applyNumberFormat="1" applyFont="1" applyBorder="1">
      <alignment vertical="center"/>
    </xf>
    <xf numFmtId="176" fontId="7" fillId="0" borderId="4" xfId="0" applyNumberFormat="1" applyFont="1" applyBorder="1">
      <alignment vertical="center"/>
    </xf>
    <xf numFmtId="176" fontId="7" fillId="0" borderId="46" xfId="0" applyNumberFormat="1" applyFont="1" applyBorder="1">
      <alignment vertical="center"/>
    </xf>
    <xf numFmtId="176" fontId="6" fillId="0" borderId="19" xfId="0" applyNumberFormat="1" applyFont="1" applyBorder="1">
      <alignment vertical="center"/>
    </xf>
    <xf numFmtId="176" fontId="6" fillId="0" borderId="35" xfId="0" applyNumberFormat="1" applyFont="1" applyBorder="1">
      <alignment vertical="center"/>
    </xf>
    <xf numFmtId="176" fontId="6" fillId="0" borderId="44" xfId="0" applyNumberFormat="1" applyFont="1" applyBorder="1">
      <alignment vertical="center"/>
    </xf>
    <xf numFmtId="176" fontId="6" fillId="0" borderId="37" xfId="0" applyNumberFormat="1" applyFont="1" applyBorder="1">
      <alignment vertical="center"/>
    </xf>
    <xf numFmtId="176" fontId="6" fillId="0" borderId="47" xfId="0" applyNumberFormat="1" applyFont="1" applyBorder="1">
      <alignment vertical="center"/>
    </xf>
    <xf numFmtId="176" fontId="6" fillId="0" borderId="68" xfId="0" applyNumberFormat="1" applyFont="1" applyBorder="1">
      <alignment vertical="center"/>
    </xf>
    <xf numFmtId="176" fontId="9" fillId="5" borderId="17" xfId="0" applyNumberFormat="1" applyFont="1" applyFill="1" applyBorder="1">
      <alignment vertical="center"/>
    </xf>
    <xf numFmtId="176" fontId="9" fillId="5" borderId="34" xfId="0" applyNumberFormat="1" applyFont="1" applyFill="1" applyBorder="1">
      <alignment vertical="center"/>
    </xf>
    <xf numFmtId="176" fontId="9" fillId="5" borderId="43" xfId="0" applyNumberFormat="1" applyFont="1" applyFill="1" applyBorder="1">
      <alignment vertical="center"/>
    </xf>
    <xf numFmtId="176" fontId="9" fillId="5" borderId="36" xfId="0" applyNumberFormat="1" applyFont="1" applyFill="1" applyBorder="1">
      <alignment vertical="center"/>
    </xf>
    <xf numFmtId="176" fontId="9" fillId="5" borderId="15" xfId="0" applyNumberFormat="1" applyFont="1" applyFill="1" applyBorder="1">
      <alignment vertical="center"/>
    </xf>
    <xf numFmtId="0" fontId="6" fillId="0" borderId="31" xfId="0" applyFont="1" applyBorder="1" applyAlignment="1">
      <alignment horizontal="left" vertical="center" wrapText="1"/>
    </xf>
    <xf numFmtId="49" fontId="0" fillId="0" borderId="0" xfId="0" applyNumberFormat="1" applyAlignment="1">
      <alignment horizontal="left" vertical="top" wrapText="1"/>
    </xf>
    <xf numFmtId="0" fontId="0" fillId="0" borderId="0" xfId="0" applyAlignment="1">
      <alignment vertical="center"/>
    </xf>
    <xf numFmtId="0" fontId="0" fillId="0" borderId="0" xfId="0" applyNumberFormat="1" applyAlignment="1">
      <alignment vertical="top"/>
    </xf>
    <xf numFmtId="9" fontId="0" fillId="0" borderId="0" xfId="0" applyNumberFormat="1" applyAlignment="1">
      <alignment vertical="top"/>
    </xf>
    <xf numFmtId="0" fontId="0" fillId="0" borderId="0" xfId="0" applyNumberFormat="1" applyAlignment="1">
      <alignment vertical="top" wrapText="1"/>
    </xf>
    <xf numFmtId="38" fontId="0" fillId="0" borderId="0" xfId="1" applyFont="1" applyAlignment="1">
      <alignment vertical="top"/>
    </xf>
    <xf numFmtId="0" fontId="0" fillId="7" borderId="0" xfId="0" applyNumberFormat="1" applyFill="1" applyAlignment="1">
      <alignment vertical="top"/>
    </xf>
    <xf numFmtId="0" fontId="11" fillId="0" borderId="0" xfId="0" applyFont="1">
      <alignment vertical="center"/>
    </xf>
    <xf numFmtId="49" fontId="0" fillId="0" borderId="0" xfId="0" applyNumberFormat="1" applyAlignment="1">
      <alignment vertical="top" wrapText="1"/>
    </xf>
    <xf numFmtId="176" fontId="6" fillId="0" borderId="0" xfId="0" applyNumberFormat="1" applyFont="1" applyBorder="1">
      <alignment vertical="center"/>
    </xf>
    <xf numFmtId="176" fontId="6" fillId="0" borderId="63" xfId="0" applyNumberFormat="1" applyFont="1" applyBorder="1">
      <alignment vertical="center"/>
    </xf>
    <xf numFmtId="176" fontId="9" fillId="4" borderId="71" xfId="0" applyNumberFormat="1" applyFont="1" applyFill="1" applyBorder="1">
      <alignment vertical="center"/>
    </xf>
    <xf numFmtId="176" fontId="9" fillId="5" borderId="71" xfId="0" applyNumberFormat="1" applyFont="1" applyFill="1" applyBorder="1">
      <alignment vertical="center"/>
    </xf>
    <xf numFmtId="176" fontId="7" fillId="0" borderId="63" xfId="0" applyNumberFormat="1" applyFont="1" applyBorder="1">
      <alignment vertical="center"/>
    </xf>
    <xf numFmtId="176" fontId="6" fillId="0" borderId="75" xfId="0" applyNumberFormat="1" applyFont="1" applyBorder="1">
      <alignment vertical="center"/>
    </xf>
    <xf numFmtId="176" fontId="6" fillId="0" borderId="84" xfId="0" applyNumberFormat="1" applyFont="1" applyBorder="1">
      <alignment vertical="center"/>
    </xf>
    <xf numFmtId="176" fontId="6" fillId="0" borderId="85" xfId="0" applyNumberFormat="1" applyFont="1" applyBorder="1">
      <alignment vertical="center"/>
    </xf>
    <xf numFmtId="176" fontId="6" fillId="0" borderId="86" xfId="0" applyNumberFormat="1" applyFont="1" applyBorder="1">
      <alignment vertical="center"/>
    </xf>
    <xf numFmtId="176" fontId="6" fillId="0" borderId="87" xfId="0" applyNumberFormat="1" applyFont="1" applyBorder="1">
      <alignment vertical="center"/>
    </xf>
    <xf numFmtId="176" fontId="6" fillId="0" borderId="88" xfId="0" applyNumberFormat="1" applyFont="1" applyBorder="1">
      <alignment vertical="center"/>
    </xf>
    <xf numFmtId="176" fontId="6" fillId="0" borderId="89" xfId="0" applyNumberFormat="1" applyFont="1" applyBorder="1">
      <alignment vertical="center"/>
    </xf>
    <xf numFmtId="176" fontId="9" fillId="3" borderId="63" xfId="0" applyNumberFormat="1" applyFont="1" applyFill="1" applyBorder="1">
      <alignment vertical="center"/>
    </xf>
    <xf numFmtId="176" fontId="6" fillId="3" borderId="18" xfId="0" applyNumberFormat="1" applyFont="1" applyFill="1" applyBorder="1">
      <alignment vertical="center"/>
    </xf>
    <xf numFmtId="176" fontId="6" fillId="3" borderId="33" xfId="0" applyNumberFormat="1" applyFont="1" applyFill="1" applyBorder="1">
      <alignment vertical="center"/>
    </xf>
    <xf numFmtId="176" fontId="6" fillId="3" borderId="42" xfId="0" applyNumberFormat="1" applyFont="1" applyFill="1" applyBorder="1">
      <alignment vertical="center"/>
    </xf>
    <xf numFmtId="176" fontId="6" fillId="3" borderId="4" xfId="0" applyNumberFormat="1" applyFont="1" applyFill="1" applyBorder="1">
      <alignment vertical="center"/>
    </xf>
    <xf numFmtId="176" fontId="6" fillId="3" borderId="46" xfId="0" applyNumberFormat="1" applyFont="1" applyFill="1" applyBorder="1">
      <alignment vertical="center"/>
    </xf>
    <xf numFmtId="0" fontId="3" fillId="3" borderId="0" xfId="0" applyFont="1" applyFill="1" applyBorder="1" applyAlignment="1">
      <alignment horizontal="center" vertical="center" wrapText="1"/>
    </xf>
    <xf numFmtId="176" fontId="6" fillId="0" borderId="94" xfId="0" applyNumberFormat="1" applyFont="1" applyBorder="1" applyAlignment="1">
      <alignment horizontal="right" vertical="center" wrapText="1"/>
    </xf>
    <xf numFmtId="176" fontId="6" fillId="0" borderId="95" xfId="0" applyNumberFormat="1" applyFont="1" applyBorder="1" applyAlignment="1">
      <alignment horizontal="right" vertical="center"/>
    </xf>
    <xf numFmtId="176" fontId="6" fillId="0" borderId="96" xfId="0" applyNumberFormat="1" applyFont="1" applyBorder="1" applyAlignment="1">
      <alignment horizontal="right" vertical="center"/>
    </xf>
    <xf numFmtId="176" fontId="6" fillId="0" borderId="97" xfId="0" applyNumberFormat="1" applyFont="1" applyBorder="1" applyAlignment="1">
      <alignment horizontal="right" vertical="center" wrapText="1"/>
    </xf>
    <xf numFmtId="176" fontId="6" fillId="0" borderId="95" xfId="0" applyNumberFormat="1" applyFont="1" applyBorder="1" applyAlignment="1">
      <alignment horizontal="right" vertical="center" wrapText="1"/>
    </xf>
    <xf numFmtId="176" fontId="6" fillId="0" borderId="96" xfId="0" applyNumberFormat="1" applyFont="1" applyBorder="1" applyAlignment="1">
      <alignment horizontal="right" vertical="center" wrapText="1"/>
    </xf>
    <xf numFmtId="176" fontId="6" fillId="0" borderId="93" xfId="0" applyNumberFormat="1" applyFont="1" applyBorder="1" applyAlignment="1">
      <alignment horizontal="right" vertical="center"/>
    </xf>
    <xf numFmtId="176" fontId="6" fillId="0" borderId="93" xfId="0" applyNumberFormat="1" applyFont="1" applyBorder="1" applyAlignment="1">
      <alignment horizontal="right" vertical="center" wrapText="1"/>
    </xf>
    <xf numFmtId="176" fontId="6" fillId="0" borderId="100" xfId="0" applyNumberFormat="1" applyFont="1" applyBorder="1" applyAlignment="1">
      <alignment horizontal="right" vertical="center" wrapText="1"/>
    </xf>
    <xf numFmtId="177" fontId="6" fillId="0" borderId="101" xfId="0" applyNumberFormat="1" applyFont="1" applyBorder="1" applyAlignment="1">
      <alignment horizontal="right" vertical="center" wrapText="1"/>
    </xf>
    <xf numFmtId="177" fontId="6" fillId="0" borderId="102" xfId="0" applyNumberFormat="1" applyFont="1" applyBorder="1" applyAlignment="1">
      <alignment horizontal="right" vertical="center"/>
    </xf>
    <xf numFmtId="177" fontId="6" fillId="0" borderId="103" xfId="0" applyNumberFormat="1" applyFont="1" applyBorder="1" applyAlignment="1">
      <alignment horizontal="right" vertical="center"/>
    </xf>
    <xf numFmtId="177" fontId="6" fillId="0" borderId="104" xfId="0" applyNumberFormat="1" applyFont="1" applyBorder="1" applyAlignment="1">
      <alignment horizontal="right" vertical="center" wrapText="1"/>
    </xf>
    <xf numFmtId="177" fontId="6" fillId="0" borderId="102" xfId="0" applyNumberFormat="1" applyFont="1" applyBorder="1" applyAlignment="1">
      <alignment horizontal="right" vertical="center" wrapText="1"/>
    </xf>
    <xf numFmtId="177" fontId="6" fillId="0" borderId="103" xfId="0" applyNumberFormat="1" applyFont="1" applyBorder="1" applyAlignment="1">
      <alignment horizontal="right" vertical="center" wrapText="1"/>
    </xf>
    <xf numFmtId="177" fontId="6" fillId="0" borderId="100" xfId="0" applyNumberFormat="1" applyFont="1" applyBorder="1" applyAlignment="1">
      <alignment horizontal="right" vertical="center"/>
    </xf>
    <xf numFmtId="0" fontId="3" fillId="0" borderId="61" xfId="0" applyFont="1" applyBorder="1" applyAlignment="1">
      <alignment horizontal="right" vertical="center"/>
    </xf>
    <xf numFmtId="0" fontId="6" fillId="0" borderId="61" xfId="0" applyFont="1" applyBorder="1" applyAlignment="1">
      <alignment horizontal="right" vertical="center"/>
    </xf>
    <xf numFmtId="0" fontId="3" fillId="0" borderId="61" xfId="0" applyFont="1" applyBorder="1" applyAlignment="1">
      <alignment horizontal="right" vertical="center"/>
    </xf>
    <xf numFmtId="0" fontId="2" fillId="0" borderId="61" xfId="0" applyFont="1" applyBorder="1" applyAlignment="1">
      <alignment horizontal="right" vertical="center"/>
    </xf>
    <xf numFmtId="176" fontId="15" fillId="3" borderId="8" xfId="0" applyNumberFormat="1" applyFont="1" applyFill="1" applyBorder="1">
      <alignment vertical="center"/>
    </xf>
    <xf numFmtId="176" fontId="15" fillId="3" borderId="21" xfId="0" applyNumberFormat="1" applyFont="1" applyFill="1" applyBorder="1" applyAlignment="1">
      <alignment horizontal="right" vertical="center"/>
    </xf>
    <xf numFmtId="176" fontId="15" fillId="3" borderId="41" xfId="0" applyNumberFormat="1" applyFont="1" applyFill="1" applyBorder="1" applyAlignment="1">
      <alignment horizontal="right" vertical="center"/>
    </xf>
    <xf numFmtId="176" fontId="15" fillId="3" borderId="9" xfId="0" applyNumberFormat="1" applyFont="1" applyFill="1" applyBorder="1" applyAlignment="1">
      <alignment horizontal="right" vertical="center"/>
    </xf>
    <xf numFmtId="176" fontId="15" fillId="3" borderId="22" xfId="0" applyNumberFormat="1" applyFont="1" applyFill="1" applyBorder="1" applyAlignment="1">
      <alignment horizontal="right" vertical="center"/>
    </xf>
    <xf numFmtId="176" fontId="15" fillId="3" borderId="0" xfId="0" applyNumberFormat="1" applyFont="1" applyFill="1" applyBorder="1" applyAlignment="1">
      <alignment horizontal="right" vertical="center"/>
    </xf>
    <xf numFmtId="176" fontId="15" fillId="4" borderId="14" xfId="0" applyNumberFormat="1" applyFont="1" applyFill="1" applyBorder="1">
      <alignment vertical="center"/>
    </xf>
    <xf numFmtId="176" fontId="15" fillId="4" borderId="45" xfId="0" applyNumberFormat="1" applyFont="1" applyFill="1" applyBorder="1" applyAlignment="1">
      <alignment horizontal="right" vertical="center"/>
    </xf>
    <xf numFmtId="176" fontId="15" fillId="4" borderId="32" xfId="0" applyNumberFormat="1" applyFont="1" applyFill="1" applyBorder="1" applyAlignment="1">
      <alignment horizontal="right" vertical="center"/>
    </xf>
    <xf numFmtId="176" fontId="15" fillId="4" borderId="39" xfId="0" applyNumberFormat="1" applyFont="1" applyFill="1" applyBorder="1" applyAlignment="1">
      <alignment horizontal="right" vertical="center"/>
    </xf>
    <xf numFmtId="176" fontId="15" fillId="4" borderId="20" xfId="0" applyNumberFormat="1" applyFont="1" applyFill="1" applyBorder="1" applyAlignment="1">
      <alignment horizontal="right" vertical="center"/>
    </xf>
    <xf numFmtId="176" fontId="15" fillId="3" borderId="19" xfId="0" applyNumberFormat="1" applyFont="1" applyFill="1" applyBorder="1">
      <alignment vertical="center"/>
    </xf>
    <xf numFmtId="176" fontId="9" fillId="4" borderId="8" xfId="0" applyNumberFormat="1" applyFont="1" applyFill="1" applyBorder="1">
      <alignment vertical="center"/>
    </xf>
    <xf numFmtId="176" fontId="9" fillId="4" borderId="21" xfId="0" applyNumberFormat="1" applyFont="1" applyFill="1" applyBorder="1">
      <alignment vertical="center"/>
    </xf>
    <xf numFmtId="176" fontId="9" fillId="4" borderId="41" xfId="0" applyNumberFormat="1" applyFont="1" applyFill="1" applyBorder="1">
      <alignment vertical="center"/>
    </xf>
    <xf numFmtId="176" fontId="9" fillId="4" borderId="9" xfId="0" applyNumberFormat="1" applyFont="1" applyFill="1" applyBorder="1">
      <alignment vertical="center"/>
    </xf>
    <xf numFmtId="176" fontId="15" fillId="4" borderId="71" xfId="0" applyNumberFormat="1" applyFont="1" applyFill="1" applyBorder="1" applyAlignment="1">
      <alignment horizontal="right" vertical="center"/>
    </xf>
    <xf numFmtId="176" fontId="17" fillId="3" borderId="8" xfId="0" applyNumberFormat="1" applyFont="1" applyFill="1" applyBorder="1">
      <alignment vertical="center"/>
    </xf>
    <xf numFmtId="176" fontId="17" fillId="3" borderId="21" xfId="0" applyNumberFormat="1" applyFont="1" applyFill="1" applyBorder="1" applyAlignment="1">
      <alignment horizontal="right" vertical="center"/>
    </xf>
    <xf numFmtId="176" fontId="17" fillId="3" borderId="41" xfId="0" applyNumberFormat="1" applyFont="1" applyFill="1" applyBorder="1" applyAlignment="1">
      <alignment horizontal="right" vertical="center"/>
    </xf>
    <xf numFmtId="176" fontId="17" fillId="3" borderId="9" xfId="0" applyNumberFormat="1" applyFont="1" applyFill="1" applyBorder="1" applyAlignment="1">
      <alignment horizontal="right" vertical="center"/>
    </xf>
    <xf numFmtId="176" fontId="17" fillId="3" borderId="22" xfId="0" applyNumberFormat="1" applyFont="1" applyFill="1" applyBorder="1" applyAlignment="1">
      <alignment horizontal="right" vertical="center"/>
    </xf>
    <xf numFmtId="176" fontId="17" fillId="3" borderId="0" xfId="0" applyNumberFormat="1" applyFont="1" applyFill="1" applyBorder="1" applyAlignment="1">
      <alignment horizontal="right" vertical="center"/>
    </xf>
    <xf numFmtId="176" fontId="17" fillId="0" borderId="18" xfId="0" applyNumberFormat="1" applyFont="1" applyBorder="1">
      <alignment vertical="center"/>
    </xf>
    <xf numFmtId="176" fontId="17" fillId="0" borderId="33" xfId="0" applyNumberFormat="1" applyFont="1" applyBorder="1">
      <alignment vertical="center"/>
    </xf>
    <xf numFmtId="176" fontId="17" fillId="0" borderId="42" xfId="0" applyNumberFormat="1" applyFont="1" applyBorder="1">
      <alignment vertical="center"/>
    </xf>
    <xf numFmtId="176" fontId="17" fillId="0" borderId="4" xfId="0" applyNumberFormat="1" applyFont="1" applyBorder="1">
      <alignment vertical="center"/>
    </xf>
    <xf numFmtId="176" fontId="17" fillId="0" borderId="46" xfId="0" applyNumberFormat="1" applyFont="1" applyBorder="1">
      <alignment vertical="center"/>
    </xf>
    <xf numFmtId="176" fontId="17" fillId="0" borderId="63" xfId="0" applyNumberFormat="1" applyFont="1" applyBorder="1">
      <alignment vertical="center"/>
    </xf>
    <xf numFmtId="176" fontId="15" fillId="2" borderId="14" xfId="0" applyNumberFormat="1" applyFont="1" applyFill="1" applyBorder="1">
      <alignment vertical="center"/>
    </xf>
    <xf numFmtId="176" fontId="15" fillId="2" borderId="20" xfId="0" applyNumberFormat="1" applyFont="1" applyFill="1" applyBorder="1">
      <alignment vertical="center"/>
    </xf>
    <xf numFmtId="176" fontId="15" fillId="2" borderId="32" xfId="0" applyNumberFormat="1" applyFont="1" applyFill="1" applyBorder="1">
      <alignment vertical="center"/>
    </xf>
    <xf numFmtId="176" fontId="15" fillId="2" borderId="39" xfId="0" applyNumberFormat="1" applyFont="1" applyFill="1" applyBorder="1">
      <alignment vertical="center"/>
    </xf>
    <xf numFmtId="176" fontId="15" fillId="2" borderId="45" xfId="0" applyNumberFormat="1" applyFont="1" applyFill="1" applyBorder="1">
      <alignment vertical="center"/>
    </xf>
    <xf numFmtId="176" fontId="15" fillId="2" borderId="71" xfId="0" applyNumberFormat="1" applyFont="1" applyFill="1" applyBorder="1">
      <alignment vertical="center"/>
    </xf>
    <xf numFmtId="176" fontId="15" fillId="3" borderId="35" xfId="0" applyNumberFormat="1" applyFont="1" applyFill="1" applyBorder="1">
      <alignment vertical="center"/>
    </xf>
    <xf numFmtId="176" fontId="15" fillId="3" borderId="44" xfId="0" applyNumberFormat="1" applyFont="1" applyFill="1" applyBorder="1">
      <alignment vertical="center"/>
    </xf>
    <xf numFmtId="176" fontId="15" fillId="3" borderId="37" xfId="0" applyNumberFormat="1" applyFont="1" applyFill="1" applyBorder="1">
      <alignment vertical="center"/>
    </xf>
    <xf numFmtId="176" fontId="15" fillId="3" borderId="47" xfId="0" applyNumberFormat="1" applyFont="1" applyFill="1" applyBorder="1">
      <alignment vertical="center"/>
    </xf>
    <xf numFmtId="176" fontId="15" fillId="2" borderId="8" xfId="0" applyNumberFormat="1" applyFont="1" applyFill="1" applyBorder="1">
      <alignment vertical="center"/>
    </xf>
    <xf numFmtId="176" fontId="15" fillId="2" borderId="21" xfId="0" applyNumberFormat="1" applyFont="1" applyFill="1" applyBorder="1">
      <alignment vertical="center"/>
    </xf>
    <xf numFmtId="176" fontId="15" fillId="2" borderId="41" xfId="0" applyNumberFormat="1" applyFont="1" applyFill="1" applyBorder="1">
      <alignment vertical="center"/>
    </xf>
    <xf numFmtId="176" fontId="15" fillId="2" borderId="9" xfId="0" applyNumberFormat="1" applyFont="1" applyFill="1" applyBorder="1">
      <alignment vertical="center"/>
    </xf>
    <xf numFmtId="176" fontId="15" fillId="2" borderId="22" xfId="0" applyNumberFormat="1" applyFont="1" applyFill="1" applyBorder="1">
      <alignment vertical="center"/>
    </xf>
    <xf numFmtId="176" fontId="15" fillId="2" borderId="0" xfId="0" applyNumberFormat="1" applyFont="1" applyFill="1" applyBorder="1">
      <alignment vertical="center"/>
    </xf>
    <xf numFmtId="176" fontId="15" fillId="2" borderId="14" xfId="0" applyNumberFormat="1" applyFont="1" applyFill="1" applyBorder="1" applyAlignment="1">
      <alignment horizontal="right" vertical="center"/>
    </xf>
    <xf numFmtId="176" fontId="15" fillId="2" borderId="32" xfId="0" applyNumberFormat="1" applyFont="1" applyFill="1" applyBorder="1" applyAlignment="1">
      <alignment horizontal="right" vertical="center"/>
    </xf>
    <xf numFmtId="176" fontId="15" fillId="2" borderId="39" xfId="0" applyNumberFormat="1" applyFont="1" applyFill="1" applyBorder="1" applyAlignment="1">
      <alignment horizontal="right" vertical="center"/>
    </xf>
    <xf numFmtId="176" fontId="15" fillId="2" borderId="20" xfId="0" applyNumberFormat="1" applyFont="1" applyFill="1" applyBorder="1" applyAlignment="1">
      <alignment horizontal="right" vertical="center"/>
    </xf>
    <xf numFmtId="176" fontId="15" fillId="2" borderId="45" xfId="0" applyNumberFormat="1" applyFont="1" applyFill="1" applyBorder="1" applyAlignment="1">
      <alignment horizontal="right" vertical="center"/>
    </xf>
    <xf numFmtId="176" fontId="15" fillId="2" borderId="71" xfId="0" applyNumberFormat="1" applyFont="1" applyFill="1" applyBorder="1" applyAlignment="1">
      <alignment horizontal="right" vertical="center"/>
    </xf>
    <xf numFmtId="176" fontId="19" fillId="3" borderId="8" xfId="0" applyNumberFormat="1" applyFont="1" applyFill="1" applyBorder="1" applyAlignment="1">
      <alignment horizontal="right" vertical="center"/>
    </xf>
    <xf numFmtId="176" fontId="19" fillId="3" borderId="21" xfId="0" applyNumberFormat="1" applyFont="1" applyFill="1" applyBorder="1" applyAlignment="1">
      <alignment horizontal="right" vertical="center"/>
    </xf>
    <xf numFmtId="176" fontId="19" fillId="3" borderId="41" xfId="0" applyNumberFormat="1" applyFont="1" applyFill="1" applyBorder="1" applyAlignment="1">
      <alignment horizontal="right" vertical="center"/>
    </xf>
    <xf numFmtId="176" fontId="19" fillId="3" borderId="9" xfId="0" applyNumberFormat="1" applyFont="1" applyFill="1" applyBorder="1" applyAlignment="1">
      <alignment horizontal="right" vertical="center"/>
    </xf>
    <xf numFmtId="176" fontId="19" fillId="3" borderId="22" xfId="0" applyNumberFormat="1" applyFont="1" applyFill="1" applyBorder="1" applyAlignment="1">
      <alignment horizontal="right" vertical="center"/>
    </xf>
    <xf numFmtId="176" fontId="19" fillId="3" borderId="0" xfId="0" applyNumberFormat="1" applyFont="1" applyFill="1" applyBorder="1" applyAlignment="1">
      <alignment horizontal="right" vertical="center"/>
    </xf>
    <xf numFmtId="176" fontId="6" fillId="0" borderId="106" xfId="0" applyNumberFormat="1" applyFont="1" applyBorder="1" applyAlignment="1">
      <alignment horizontal="right" vertical="center" wrapText="1"/>
    </xf>
    <xf numFmtId="176" fontId="6" fillId="0" borderId="107" xfId="0" applyNumberFormat="1" applyFont="1" applyBorder="1" applyAlignment="1">
      <alignment horizontal="right" vertical="center"/>
    </xf>
    <xf numFmtId="176" fontId="6" fillId="0" borderId="105" xfId="0" applyNumberFormat="1" applyFont="1" applyBorder="1" applyAlignment="1">
      <alignment horizontal="right" vertical="center"/>
    </xf>
    <xf numFmtId="176" fontId="6" fillId="0" borderId="108" xfId="0" applyNumberFormat="1" applyFont="1" applyBorder="1" applyAlignment="1">
      <alignment horizontal="right" vertical="center" wrapText="1"/>
    </xf>
    <xf numFmtId="176" fontId="6" fillId="0" borderId="107" xfId="0" applyNumberFormat="1" applyFont="1" applyBorder="1" applyAlignment="1">
      <alignment horizontal="right" vertical="center" wrapText="1"/>
    </xf>
    <xf numFmtId="176" fontId="6" fillId="0" borderId="105" xfId="0" applyNumberFormat="1" applyFont="1" applyBorder="1" applyAlignment="1">
      <alignment horizontal="right" vertical="center" wrapText="1"/>
    </xf>
    <xf numFmtId="176" fontId="6" fillId="0" borderId="109" xfId="0" applyNumberFormat="1" applyFont="1" applyBorder="1" applyAlignment="1">
      <alignment horizontal="right" vertical="center"/>
    </xf>
    <xf numFmtId="176" fontId="6" fillId="0" borderId="109" xfId="0" applyNumberFormat="1" applyFont="1" applyBorder="1" applyAlignment="1">
      <alignment horizontal="right" vertical="center" wrapText="1"/>
    </xf>
    <xf numFmtId="176" fontId="15" fillId="8" borderId="14" xfId="0" applyNumberFormat="1" applyFont="1" applyFill="1" applyBorder="1">
      <alignment vertical="center"/>
    </xf>
    <xf numFmtId="176" fontId="15" fillId="8" borderId="20" xfId="0" applyNumberFormat="1" applyFont="1" applyFill="1" applyBorder="1">
      <alignment vertical="center"/>
    </xf>
    <xf numFmtId="176" fontId="15" fillId="8" borderId="39" xfId="0" applyNumberFormat="1" applyFont="1" applyFill="1" applyBorder="1">
      <alignment vertical="center"/>
    </xf>
    <xf numFmtId="176" fontId="15" fillId="8" borderId="45" xfId="0" applyNumberFormat="1" applyFont="1" applyFill="1" applyBorder="1">
      <alignment vertical="center"/>
    </xf>
    <xf numFmtId="176" fontId="15" fillId="8" borderId="45" xfId="0" applyNumberFormat="1" applyFont="1" applyFill="1" applyBorder="1" applyAlignment="1">
      <alignment horizontal="right" vertical="center"/>
    </xf>
    <xf numFmtId="176" fontId="15" fillId="8" borderId="32" xfId="0" applyNumberFormat="1" applyFont="1" applyFill="1" applyBorder="1" applyAlignment="1">
      <alignment horizontal="right" vertical="center"/>
    </xf>
    <xf numFmtId="176" fontId="15" fillId="8" borderId="39" xfId="0" applyNumberFormat="1" applyFont="1" applyFill="1" applyBorder="1" applyAlignment="1">
      <alignment horizontal="right" vertical="center"/>
    </xf>
    <xf numFmtId="176" fontId="15" fillId="8" borderId="20" xfId="0" applyNumberFormat="1" applyFont="1" applyFill="1" applyBorder="1" applyAlignment="1">
      <alignment horizontal="right" vertical="center"/>
    </xf>
    <xf numFmtId="176" fontId="6" fillId="0" borderId="48" xfId="0" applyNumberFormat="1" applyFont="1" applyBorder="1" applyAlignment="1">
      <alignment horizontal="left" vertical="center"/>
    </xf>
    <xf numFmtId="176" fontId="6" fillId="0" borderId="42" xfId="0" applyNumberFormat="1" applyFont="1" applyBorder="1" applyAlignment="1">
      <alignment horizontal="left" vertical="center"/>
    </xf>
    <xf numFmtId="176" fontId="9" fillId="9" borderId="14" xfId="0" applyNumberFormat="1" applyFont="1" applyFill="1" applyBorder="1">
      <alignment vertical="center"/>
    </xf>
    <xf numFmtId="176" fontId="9" fillId="9" borderId="32" xfId="0" applyNumberFormat="1" applyFont="1" applyFill="1" applyBorder="1">
      <alignment vertical="center"/>
    </xf>
    <xf numFmtId="176" fontId="9" fillId="9" borderId="39" xfId="0" applyNumberFormat="1" applyFont="1" applyFill="1" applyBorder="1">
      <alignment vertical="center"/>
    </xf>
    <xf numFmtId="176" fontId="9" fillId="9" borderId="20" xfId="0" applyNumberFormat="1" applyFont="1" applyFill="1" applyBorder="1">
      <alignment vertical="center"/>
    </xf>
    <xf numFmtId="176" fontId="9" fillId="9" borderId="45" xfId="0" applyNumberFormat="1" applyFont="1" applyFill="1" applyBorder="1">
      <alignment vertical="center"/>
    </xf>
    <xf numFmtId="176" fontId="9" fillId="9" borderId="71" xfId="0" applyNumberFormat="1" applyFont="1" applyFill="1" applyBorder="1">
      <alignment vertical="center"/>
    </xf>
    <xf numFmtId="176" fontId="9" fillId="9" borderId="17" xfId="0" applyNumberFormat="1" applyFont="1" applyFill="1" applyBorder="1">
      <alignment vertical="center"/>
    </xf>
    <xf numFmtId="176" fontId="9" fillId="9" borderId="34" xfId="0" applyNumberFormat="1" applyFont="1" applyFill="1" applyBorder="1">
      <alignment vertical="center"/>
    </xf>
    <xf numFmtId="176" fontId="9" fillId="9" borderId="43" xfId="0" applyNumberFormat="1" applyFont="1" applyFill="1" applyBorder="1">
      <alignment vertical="center"/>
    </xf>
    <xf numFmtId="176" fontId="9" fillId="9" borderId="36" xfId="0" applyNumberFormat="1" applyFont="1" applyFill="1" applyBorder="1">
      <alignment vertical="center"/>
    </xf>
    <xf numFmtId="176" fontId="9" fillId="9" borderId="15" xfId="0" applyNumberFormat="1" applyFont="1" applyFill="1" applyBorder="1">
      <alignment vertical="center"/>
    </xf>
    <xf numFmtId="176" fontId="9" fillId="9" borderId="70" xfId="0" applyNumberFormat="1" applyFont="1" applyFill="1" applyBorder="1">
      <alignment vertical="center"/>
    </xf>
    <xf numFmtId="176" fontId="9" fillId="8" borderId="14" xfId="0" applyNumberFormat="1" applyFont="1" applyFill="1" applyBorder="1">
      <alignment vertical="center"/>
    </xf>
    <xf numFmtId="176" fontId="9" fillId="8" borderId="32" xfId="0" applyNumberFormat="1" applyFont="1" applyFill="1" applyBorder="1">
      <alignment vertical="center"/>
    </xf>
    <xf numFmtId="176" fontId="9" fillId="8" borderId="39" xfId="0" applyNumberFormat="1" applyFont="1" applyFill="1" applyBorder="1">
      <alignment vertical="center"/>
    </xf>
    <xf numFmtId="176" fontId="9" fillId="8" borderId="20" xfId="0" applyNumberFormat="1" applyFont="1" applyFill="1" applyBorder="1">
      <alignment vertical="center"/>
    </xf>
    <xf numFmtId="176" fontId="9" fillId="8" borderId="45" xfId="0" applyNumberFormat="1" applyFont="1" applyFill="1" applyBorder="1">
      <alignment vertical="center"/>
    </xf>
    <xf numFmtId="176" fontId="9" fillId="8" borderId="71" xfId="0" applyNumberFormat="1" applyFont="1" applyFill="1" applyBorder="1">
      <alignment vertical="center"/>
    </xf>
    <xf numFmtId="176" fontId="9" fillId="8" borderId="17" xfId="0" applyNumberFormat="1" applyFont="1" applyFill="1" applyBorder="1">
      <alignment vertical="center"/>
    </xf>
    <xf numFmtId="176" fontId="9" fillId="8" borderId="34" xfId="0" applyNumberFormat="1" applyFont="1" applyFill="1" applyBorder="1">
      <alignment vertical="center"/>
    </xf>
    <xf numFmtId="176" fontId="9" fillId="8" borderId="43" xfId="0" applyNumberFormat="1" applyFont="1" applyFill="1" applyBorder="1">
      <alignment vertical="center"/>
    </xf>
    <xf numFmtId="176" fontId="9" fillId="8" borderId="36" xfId="0" applyNumberFormat="1" applyFont="1" applyFill="1" applyBorder="1">
      <alignment vertical="center"/>
    </xf>
    <xf numFmtId="176" fontId="9" fillId="8" borderId="15" xfId="0" applyNumberFormat="1" applyFont="1" applyFill="1" applyBorder="1">
      <alignment vertical="center"/>
    </xf>
    <xf numFmtId="176" fontId="9" fillId="8" borderId="70" xfId="0" applyNumberFormat="1" applyFont="1" applyFill="1" applyBorder="1">
      <alignment vertical="center"/>
    </xf>
    <xf numFmtId="176" fontId="9" fillId="11" borderId="14" xfId="0" applyNumberFormat="1" applyFont="1" applyFill="1" applyBorder="1">
      <alignment vertical="center"/>
    </xf>
    <xf numFmtId="176" fontId="9" fillId="11" borderId="32" xfId="0" applyNumberFormat="1" applyFont="1" applyFill="1" applyBorder="1">
      <alignment vertical="center"/>
    </xf>
    <xf numFmtId="176" fontId="9" fillId="11" borderId="39" xfId="0" applyNumberFormat="1" applyFont="1" applyFill="1" applyBorder="1">
      <alignment vertical="center"/>
    </xf>
    <xf numFmtId="176" fontId="9" fillId="11" borderId="20" xfId="0" applyNumberFormat="1" applyFont="1" applyFill="1" applyBorder="1">
      <alignment vertical="center"/>
    </xf>
    <xf numFmtId="176" fontId="9" fillId="11" borderId="45" xfId="0" applyNumberFormat="1" applyFont="1" applyFill="1" applyBorder="1">
      <alignment vertical="center"/>
    </xf>
    <xf numFmtId="176" fontId="9" fillId="11" borderId="71" xfId="0" applyNumberFormat="1" applyFont="1" applyFill="1" applyBorder="1">
      <alignment vertical="center"/>
    </xf>
    <xf numFmtId="176" fontId="9" fillId="11" borderId="17" xfId="0" applyNumberFormat="1" applyFont="1" applyFill="1" applyBorder="1">
      <alignment vertical="center"/>
    </xf>
    <xf numFmtId="176" fontId="9" fillId="11" borderId="34" xfId="0" applyNumberFormat="1" applyFont="1" applyFill="1" applyBorder="1">
      <alignment vertical="center"/>
    </xf>
    <xf numFmtId="176" fontId="9" fillId="11" borderId="43" xfId="0" applyNumberFormat="1" applyFont="1" applyFill="1" applyBorder="1">
      <alignment vertical="center"/>
    </xf>
    <xf numFmtId="176" fontId="9" fillId="11" borderId="36" xfId="0" applyNumberFormat="1" applyFont="1" applyFill="1" applyBorder="1">
      <alignment vertical="center"/>
    </xf>
    <xf numFmtId="176" fontId="9" fillId="11" borderId="15" xfId="0" applyNumberFormat="1" applyFont="1" applyFill="1" applyBorder="1">
      <alignment vertical="center"/>
    </xf>
    <xf numFmtId="176" fontId="9" fillId="11" borderId="70" xfId="0" applyNumberFormat="1" applyFont="1" applyFill="1" applyBorder="1">
      <alignment vertical="center"/>
    </xf>
    <xf numFmtId="176" fontId="17" fillId="3" borderId="8" xfId="0" applyNumberFormat="1" applyFont="1" applyFill="1" applyBorder="1" applyAlignment="1">
      <alignment horizontal="right" vertical="center"/>
    </xf>
    <xf numFmtId="176" fontId="17" fillId="3" borderId="4" xfId="0" applyNumberFormat="1" applyFont="1" applyFill="1" applyBorder="1">
      <alignment vertical="center"/>
    </xf>
    <xf numFmtId="176" fontId="17" fillId="3" borderId="33" xfId="0" applyNumberFormat="1" applyFont="1" applyFill="1" applyBorder="1" applyAlignment="1">
      <alignment horizontal="right" vertical="center"/>
    </xf>
    <xf numFmtId="176" fontId="17" fillId="3" borderId="42" xfId="0" applyNumberFormat="1" applyFont="1" applyFill="1" applyBorder="1" applyAlignment="1">
      <alignment horizontal="right" vertical="center"/>
    </xf>
    <xf numFmtId="176" fontId="17" fillId="3" borderId="4" xfId="0" applyNumberFormat="1" applyFont="1" applyFill="1" applyBorder="1" applyAlignment="1">
      <alignment horizontal="right" vertical="center"/>
    </xf>
    <xf numFmtId="176" fontId="17" fillId="3" borderId="46" xfId="0" applyNumberFormat="1" applyFont="1" applyFill="1" applyBorder="1" applyAlignment="1">
      <alignment horizontal="right" vertical="center"/>
    </xf>
    <xf numFmtId="176" fontId="17" fillId="3" borderId="9" xfId="0" applyNumberFormat="1" applyFont="1" applyFill="1" applyBorder="1">
      <alignment vertical="center"/>
    </xf>
    <xf numFmtId="176" fontId="17" fillId="3" borderId="21" xfId="0" applyNumberFormat="1" applyFont="1" applyFill="1" applyBorder="1">
      <alignment vertical="center"/>
    </xf>
    <xf numFmtId="176" fontId="17" fillId="3" borderId="41" xfId="0" applyNumberFormat="1" applyFont="1" applyFill="1" applyBorder="1">
      <alignment vertical="center"/>
    </xf>
    <xf numFmtId="176" fontId="17" fillId="3" borderId="22" xfId="0" applyNumberFormat="1" applyFont="1" applyFill="1" applyBorder="1">
      <alignment vertical="center"/>
    </xf>
    <xf numFmtId="176" fontId="17" fillId="3" borderId="0" xfId="0" applyNumberFormat="1" applyFont="1" applyFill="1" applyBorder="1">
      <alignment vertical="center"/>
    </xf>
    <xf numFmtId="0" fontId="15" fillId="2" borderId="52" xfId="0" applyFont="1" applyFill="1" applyBorder="1" applyAlignment="1">
      <alignment horizontal="left" vertical="center"/>
    </xf>
    <xf numFmtId="0" fontId="15" fillId="2" borderId="3" xfId="0" applyFont="1" applyFill="1" applyBorder="1" applyAlignment="1">
      <alignment horizontal="left" vertical="center" wrapText="1"/>
    </xf>
    <xf numFmtId="176" fontId="17" fillId="0" borderId="65" xfId="0" applyNumberFormat="1" applyFont="1" applyBorder="1">
      <alignment vertical="center"/>
    </xf>
    <xf numFmtId="176" fontId="17" fillId="0" borderId="66" xfId="0" applyNumberFormat="1" applyFont="1" applyBorder="1">
      <alignment vertical="center"/>
    </xf>
    <xf numFmtId="176" fontId="17" fillId="0" borderId="64" xfId="0" applyNumberFormat="1" applyFont="1" applyBorder="1">
      <alignment vertical="center"/>
    </xf>
    <xf numFmtId="176" fontId="17" fillId="0" borderId="67" xfId="0" applyNumberFormat="1" applyFont="1" applyBorder="1">
      <alignment vertical="center"/>
    </xf>
    <xf numFmtId="176" fontId="17" fillId="0" borderId="68" xfId="0" applyNumberFormat="1" applyFont="1" applyBorder="1">
      <alignment vertical="center"/>
    </xf>
    <xf numFmtId="176" fontId="17" fillId="0" borderId="75" xfId="0" applyNumberFormat="1" applyFont="1" applyBorder="1">
      <alignment vertical="center"/>
    </xf>
    <xf numFmtId="176" fontId="17" fillId="0" borderId="84" xfId="0" applyNumberFormat="1" applyFont="1" applyBorder="1">
      <alignment vertical="center"/>
    </xf>
    <xf numFmtId="176" fontId="17" fillId="0" borderId="85" xfId="0" applyNumberFormat="1" applyFont="1" applyBorder="1">
      <alignment vertical="center"/>
    </xf>
    <xf numFmtId="176" fontId="17" fillId="0" borderId="86" xfId="0" applyNumberFormat="1" applyFont="1" applyBorder="1">
      <alignment vertical="center"/>
    </xf>
    <xf numFmtId="176" fontId="17" fillId="0" borderId="87" xfId="0" applyNumberFormat="1" applyFont="1" applyBorder="1">
      <alignment vertical="center"/>
    </xf>
    <xf numFmtId="176" fontId="17" fillId="0" borderId="88" xfId="0" applyNumberFormat="1" applyFont="1" applyBorder="1">
      <alignment vertical="center"/>
    </xf>
    <xf numFmtId="176" fontId="15" fillId="10" borderId="14" xfId="0" applyNumberFormat="1" applyFont="1" applyFill="1" applyBorder="1">
      <alignment vertical="center"/>
    </xf>
    <xf numFmtId="176" fontId="15" fillId="10" borderId="32" xfId="0" applyNumberFormat="1" applyFont="1" applyFill="1" applyBorder="1">
      <alignment vertical="center"/>
    </xf>
    <xf numFmtId="176" fontId="15" fillId="10" borderId="39" xfId="0" applyNumberFormat="1" applyFont="1" applyFill="1" applyBorder="1">
      <alignment vertical="center"/>
    </xf>
    <xf numFmtId="176" fontId="15" fillId="10" borderId="20" xfId="0" applyNumberFormat="1" applyFont="1" applyFill="1" applyBorder="1">
      <alignment vertical="center"/>
    </xf>
    <xf numFmtId="176" fontId="15" fillId="10" borderId="45" xfId="0" applyNumberFormat="1" applyFont="1" applyFill="1" applyBorder="1">
      <alignment vertical="center"/>
    </xf>
    <xf numFmtId="176" fontId="15" fillId="10" borderId="71" xfId="0" applyNumberFormat="1" applyFont="1" applyFill="1" applyBorder="1">
      <alignment vertical="center"/>
    </xf>
    <xf numFmtId="176" fontId="15" fillId="10" borderId="17" xfId="0" applyNumberFormat="1" applyFont="1" applyFill="1" applyBorder="1">
      <alignment vertical="center"/>
    </xf>
    <xf numFmtId="176" fontId="15" fillId="10" borderId="34" xfId="0" applyNumberFormat="1" applyFont="1" applyFill="1" applyBorder="1">
      <alignment vertical="center"/>
    </xf>
    <xf numFmtId="176" fontId="15" fillId="10" borderId="43" xfId="0" applyNumberFormat="1" applyFont="1" applyFill="1" applyBorder="1">
      <alignment vertical="center"/>
    </xf>
    <xf numFmtId="176" fontId="15" fillId="10" borderId="36" xfId="0" applyNumberFormat="1" applyFont="1" applyFill="1" applyBorder="1">
      <alignment vertical="center"/>
    </xf>
    <xf numFmtId="176" fontId="15" fillId="10" borderId="15" xfId="0" applyNumberFormat="1" applyFont="1" applyFill="1" applyBorder="1">
      <alignment vertical="center"/>
    </xf>
    <xf numFmtId="176" fontId="15" fillId="10" borderId="70" xfId="0" applyNumberFormat="1" applyFont="1" applyFill="1" applyBorder="1">
      <alignment vertical="center"/>
    </xf>
    <xf numFmtId="176" fontId="17" fillId="0" borderId="9" xfId="0" applyNumberFormat="1" applyFont="1" applyBorder="1">
      <alignment vertical="center"/>
    </xf>
    <xf numFmtId="176" fontId="17" fillId="0" borderId="21" xfId="0" applyNumberFormat="1" applyFont="1" applyBorder="1">
      <alignment vertical="center"/>
    </xf>
    <xf numFmtId="176" fontId="17" fillId="0" borderId="41" xfId="0" applyNumberFormat="1" applyFont="1" applyBorder="1">
      <alignment vertical="center"/>
    </xf>
    <xf numFmtId="176" fontId="17" fillId="0" borderId="8" xfId="0" applyNumberFormat="1" applyFont="1" applyBorder="1">
      <alignment vertical="center"/>
    </xf>
    <xf numFmtId="176" fontId="17" fillId="0" borderId="52" xfId="0" applyNumberFormat="1" applyFont="1" applyBorder="1">
      <alignment vertical="center"/>
    </xf>
    <xf numFmtId="176" fontId="17" fillId="0" borderId="0" xfId="0" applyNumberFormat="1" applyFont="1" applyBorder="1">
      <alignment vertical="center"/>
    </xf>
    <xf numFmtId="176" fontId="15" fillId="6" borderId="20" xfId="0" applyNumberFormat="1" applyFont="1" applyFill="1" applyBorder="1">
      <alignment vertical="center"/>
    </xf>
    <xf numFmtId="176" fontId="15" fillId="6" borderId="32" xfId="0" applyNumberFormat="1" applyFont="1" applyFill="1" applyBorder="1">
      <alignment vertical="center"/>
    </xf>
    <xf numFmtId="176" fontId="15" fillId="6" borderId="39" xfId="0" applyNumberFormat="1" applyFont="1" applyFill="1" applyBorder="1">
      <alignment vertical="center"/>
    </xf>
    <xf numFmtId="176" fontId="15" fillId="6" borderId="14" xfId="0" applyNumberFormat="1" applyFont="1" applyFill="1" applyBorder="1">
      <alignment vertical="center"/>
    </xf>
    <xf numFmtId="176" fontId="15" fillId="6" borderId="78" xfId="0" applyNumberFormat="1" applyFont="1" applyFill="1" applyBorder="1">
      <alignment vertical="center"/>
    </xf>
    <xf numFmtId="176" fontId="15" fillId="6" borderId="71" xfId="0" applyNumberFormat="1" applyFont="1" applyFill="1" applyBorder="1">
      <alignment vertical="center"/>
    </xf>
    <xf numFmtId="176" fontId="17" fillId="0" borderId="3" xfId="0" applyNumberFormat="1" applyFont="1" applyBorder="1">
      <alignment vertical="center"/>
    </xf>
    <xf numFmtId="176" fontId="15" fillId="6" borderId="55" xfId="0" applyNumberFormat="1" applyFont="1" applyFill="1" applyBorder="1">
      <alignment vertical="center"/>
    </xf>
    <xf numFmtId="176" fontId="15" fillId="6" borderId="45" xfId="0" applyNumberFormat="1" applyFont="1" applyFill="1" applyBorder="1">
      <alignment vertical="center"/>
    </xf>
    <xf numFmtId="176" fontId="17" fillId="0" borderId="44" xfId="0" applyNumberFormat="1" applyFont="1" applyBorder="1">
      <alignment vertical="center"/>
    </xf>
    <xf numFmtId="176" fontId="17" fillId="0" borderId="22" xfId="0" applyNumberFormat="1" applyFont="1" applyBorder="1">
      <alignment vertical="center"/>
    </xf>
    <xf numFmtId="176" fontId="15" fillId="6" borderId="56" xfId="0" applyNumberFormat="1" applyFont="1" applyFill="1" applyBorder="1">
      <alignment vertical="center"/>
    </xf>
    <xf numFmtId="176" fontId="15" fillId="6" borderId="54" xfId="0" applyNumberFormat="1" applyFont="1" applyFill="1" applyBorder="1">
      <alignment vertical="center"/>
    </xf>
    <xf numFmtId="176" fontId="15" fillId="6" borderId="53" xfId="0" applyNumberFormat="1" applyFont="1" applyFill="1" applyBorder="1">
      <alignment vertical="center"/>
    </xf>
    <xf numFmtId="176" fontId="15" fillId="6" borderId="81" xfId="0" applyNumberFormat="1" applyFont="1" applyFill="1" applyBorder="1">
      <alignment vertical="center"/>
    </xf>
    <xf numFmtId="176" fontId="15" fillId="6" borderId="57" xfId="0" applyNumberFormat="1" applyFont="1" applyFill="1" applyBorder="1">
      <alignment vertical="center"/>
    </xf>
    <xf numFmtId="176" fontId="15" fillId="6" borderId="72" xfId="0" applyNumberFormat="1" applyFont="1" applyFill="1" applyBorder="1">
      <alignment vertical="center"/>
    </xf>
    <xf numFmtId="176" fontId="17" fillId="0" borderId="82" xfId="0" applyNumberFormat="1" applyFont="1" applyBorder="1">
      <alignment vertical="center"/>
    </xf>
    <xf numFmtId="176" fontId="17" fillId="0" borderId="37" xfId="0" applyNumberFormat="1" applyFont="1" applyBorder="1">
      <alignment vertical="center"/>
    </xf>
    <xf numFmtId="176" fontId="17" fillId="0" borderId="35" xfId="0" applyNumberFormat="1" applyFont="1" applyBorder="1">
      <alignment vertical="center"/>
    </xf>
    <xf numFmtId="176" fontId="17" fillId="0" borderId="19" xfId="0" applyNumberFormat="1" applyFont="1" applyBorder="1">
      <alignment vertical="center"/>
    </xf>
    <xf numFmtId="176" fontId="17" fillId="0" borderId="83" xfId="0" applyNumberFormat="1" applyFont="1" applyBorder="1">
      <alignment vertical="center"/>
    </xf>
    <xf numFmtId="176" fontId="17" fillId="0" borderId="47" xfId="0" applyNumberFormat="1" applyFont="1" applyBorder="1">
      <alignment vertical="center"/>
    </xf>
    <xf numFmtId="176" fontId="17" fillId="0" borderId="73" xfId="0" applyNumberFormat="1" applyFont="1" applyBorder="1">
      <alignment vertical="center"/>
    </xf>
    <xf numFmtId="176" fontId="15" fillId="6" borderId="36" xfId="0" applyNumberFormat="1" applyFont="1" applyFill="1" applyBorder="1">
      <alignment vertical="center"/>
    </xf>
    <xf numFmtId="176" fontId="15" fillId="6" borderId="43" xfId="0" applyNumberFormat="1" applyFont="1" applyFill="1" applyBorder="1">
      <alignment vertical="center"/>
    </xf>
    <xf numFmtId="176" fontId="15" fillId="6" borderId="17" xfId="0" applyNumberFormat="1" applyFont="1" applyFill="1" applyBorder="1">
      <alignment vertical="center"/>
    </xf>
    <xf numFmtId="176" fontId="15" fillId="6" borderId="15" xfId="0" applyNumberFormat="1" applyFont="1" applyFill="1" applyBorder="1">
      <alignment vertical="center"/>
    </xf>
    <xf numFmtId="176" fontId="15" fillId="6" borderId="70" xfId="0" applyNumberFormat="1" applyFont="1" applyFill="1" applyBorder="1">
      <alignment vertical="center"/>
    </xf>
    <xf numFmtId="176" fontId="6" fillId="0" borderId="79" xfId="0" applyNumberFormat="1" applyFont="1" applyBorder="1">
      <alignment vertical="center"/>
    </xf>
    <xf numFmtId="176" fontId="9" fillId="2" borderId="51" xfId="0" applyNumberFormat="1" applyFont="1" applyFill="1" applyBorder="1">
      <alignment vertical="center"/>
    </xf>
    <xf numFmtId="176" fontId="9" fillId="2" borderId="77" xfId="0" applyNumberFormat="1" applyFont="1" applyFill="1" applyBorder="1">
      <alignment vertical="center"/>
    </xf>
    <xf numFmtId="176" fontId="9" fillId="4" borderId="110" xfId="0" applyNumberFormat="1" applyFont="1" applyFill="1" applyBorder="1">
      <alignment vertical="center"/>
    </xf>
    <xf numFmtId="176" fontId="6" fillId="0" borderId="61" xfId="0" applyNumberFormat="1" applyFont="1" applyBorder="1">
      <alignment vertical="center"/>
    </xf>
    <xf numFmtId="176" fontId="6" fillId="0" borderId="111" xfId="0" applyNumberFormat="1" applyFont="1" applyBorder="1">
      <alignment vertical="center"/>
    </xf>
    <xf numFmtId="176" fontId="9" fillId="4" borderId="61" xfId="0" applyNumberFormat="1" applyFont="1" applyFill="1" applyBorder="1">
      <alignment vertical="center"/>
    </xf>
    <xf numFmtId="176" fontId="9" fillId="2" borderId="110" xfId="0" applyNumberFormat="1" applyFont="1" applyFill="1" applyBorder="1">
      <alignment vertical="center"/>
    </xf>
    <xf numFmtId="176" fontId="17" fillId="3" borderId="52" xfId="0" applyNumberFormat="1" applyFont="1" applyFill="1" applyBorder="1">
      <alignment vertical="center"/>
    </xf>
    <xf numFmtId="176" fontId="17" fillId="3" borderId="42" xfId="0" applyNumberFormat="1" applyFont="1" applyFill="1" applyBorder="1">
      <alignment vertical="center"/>
    </xf>
    <xf numFmtId="176" fontId="6" fillId="0" borderId="41" xfId="0" applyNumberFormat="1" applyFont="1" applyBorder="1" applyAlignment="1">
      <alignment horizontal="center" vertical="center"/>
    </xf>
    <xf numFmtId="0" fontId="3" fillId="0" borderId="61" xfId="0" applyFont="1" applyBorder="1" applyAlignment="1">
      <alignment horizontal="right" vertical="center"/>
    </xf>
    <xf numFmtId="0" fontId="15" fillId="2" borderId="52" xfId="0" applyFont="1" applyFill="1" applyBorder="1" applyAlignment="1">
      <alignment horizontal="left" vertical="center" wrapText="1"/>
    </xf>
    <xf numFmtId="0" fontId="15" fillId="2" borderId="5" xfId="0" applyFont="1" applyFill="1" applyBorder="1" applyAlignment="1">
      <alignment horizontal="left" vertical="center"/>
    </xf>
    <xf numFmtId="0" fontId="8" fillId="3" borderId="0" xfId="0" applyFont="1" applyFill="1" applyBorder="1" applyAlignment="1">
      <alignment horizontal="center" vertical="center"/>
    </xf>
    <xf numFmtId="176" fontId="17" fillId="0" borderId="112" xfId="0" applyNumberFormat="1" applyFont="1" applyBorder="1">
      <alignment vertical="center"/>
    </xf>
    <xf numFmtId="176" fontId="9" fillId="4" borderId="22" xfId="0" applyNumberFormat="1" applyFont="1" applyFill="1" applyBorder="1">
      <alignment vertical="center"/>
    </xf>
    <xf numFmtId="176" fontId="9" fillId="4" borderId="78" xfId="0" applyNumberFormat="1" applyFont="1" applyFill="1" applyBorder="1">
      <alignment vertical="center"/>
    </xf>
    <xf numFmtId="176" fontId="15" fillId="8" borderId="17" xfId="0" applyNumberFormat="1" applyFont="1" applyFill="1" applyBorder="1">
      <alignment vertical="center"/>
    </xf>
    <xf numFmtId="176" fontId="15" fillId="8" borderId="34" xfId="0" applyNumberFormat="1" applyFont="1" applyFill="1" applyBorder="1" applyAlignment="1">
      <alignment horizontal="right" vertical="center"/>
    </xf>
    <xf numFmtId="176" fontId="15" fillId="8" borderId="43" xfId="0" applyNumberFormat="1" applyFont="1" applyFill="1" applyBorder="1" applyAlignment="1">
      <alignment horizontal="right" vertical="center"/>
    </xf>
    <xf numFmtId="176" fontId="15" fillId="8" borderId="36" xfId="0" applyNumberFormat="1" applyFont="1" applyFill="1" applyBorder="1" applyAlignment="1">
      <alignment horizontal="right" vertical="center"/>
    </xf>
    <xf numFmtId="176" fontId="15" fillId="8" borderId="15" xfId="0" applyNumberFormat="1" applyFont="1" applyFill="1" applyBorder="1" applyAlignment="1">
      <alignment horizontal="right" vertical="center"/>
    </xf>
    <xf numFmtId="0" fontId="7" fillId="9" borderId="3" xfId="0" applyFont="1" applyFill="1" applyBorder="1" applyAlignment="1">
      <alignment horizontal="left" vertical="center" wrapText="1"/>
    </xf>
    <xf numFmtId="0" fontId="7" fillId="9" borderId="5" xfId="0" applyFont="1" applyFill="1" applyBorder="1" applyAlignment="1">
      <alignment horizontal="left" vertical="center"/>
    </xf>
    <xf numFmtId="0" fontId="7" fillId="2" borderId="3" xfId="0" applyFont="1" applyFill="1" applyBorder="1" applyAlignment="1">
      <alignment horizontal="left" vertical="center"/>
    </xf>
    <xf numFmtId="0" fontId="7" fillId="2" borderId="5" xfId="0" applyFont="1" applyFill="1" applyBorder="1" applyAlignment="1">
      <alignment horizontal="left" vertical="center"/>
    </xf>
    <xf numFmtId="0" fontId="14" fillId="10" borderId="3" xfId="0" applyFont="1" applyFill="1" applyBorder="1" applyAlignment="1">
      <alignment horizontal="left" vertical="center" wrapText="1"/>
    </xf>
    <xf numFmtId="0" fontId="14" fillId="10" borderId="5" xfId="0" applyFont="1" applyFill="1" applyBorder="1" applyAlignment="1">
      <alignment horizontal="left" vertical="center"/>
    </xf>
    <xf numFmtId="0" fontId="7" fillId="8" borderId="3" xfId="0" applyFont="1" applyFill="1" applyBorder="1" applyAlignment="1">
      <alignment horizontal="left" vertical="center"/>
    </xf>
    <xf numFmtId="0" fontId="7" fillId="8" borderId="5" xfId="0" applyFont="1" applyFill="1" applyBorder="1" applyAlignment="1">
      <alignment horizontal="left" vertical="center"/>
    </xf>
    <xf numFmtId="0" fontId="7" fillId="2" borderId="61" xfId="0" applyFont="1" applyFill="1" applyBorder="1" applyAlignment="1">
      <alignment horizontal="center" vertical="center" textRotation="255"/>
    </xf>
    <xf numFmtId="0" fontId="7" fillId="2" borderId="90" xfId="0" applyFont="1" applyFill="1" applyBorder="1" applyAlignment="1">
      <alignment horizontal="center" vertical="center" textRotation="255"/>
    </xf>
    <xf numFmtId="0" fontId="7" fillId="5" borderId="62" xfId="0" applyFont="1" applyFill="1" applyBorder="1" applyAlignment="1">
      <alignment horizontal="center" vertical="center" textRotation="255"/>
    </xf>
    <xf numFmtId="0" fontId="7" fillId="5" borderId="113" xfId="0" applyFont="1" applyFill="1" applyBorder="1" applyAlignment="1">
      <alignment horizontal="center" vertical="center" textRotation="255"/>
    </xf>
    <xf numFmtId="0" fontId="14" fillId="2" borderId="46" xfId="0" applyFont="1" applyFill="1" applyBorder="1" applyAlignment="1">
      <alignment horizontal="left" vertical="center"/>
    </xf>
    <xf numFmtId="0" fontId="14" fillId="2" borderId="12" xfId="0" applyFont="1" applyFill="1" applyBorder="1" applyAlignment="1">
      <alignment horizontal="left" vertical="center"/>
    </xf>
    <xf numFmtId="0" fontId="7" fillId="9" borderId="52" xfId="0" applyFont="1" applyFill="1" applyBorder="1" applyAlignment="1">
      <alignment horizontal="left" vertical="center" wrapText="1"/>
    </xf>
    <xf numFmtId="0" fontId="14" fillId="6" borderId="3" xfId="0" applyFont="1" applyFill="1" applyBorder="1" applyAlignment="1">
      <alignment horizontal="left" vertical="center" wrapText="1"/>
    </xf>
    <xf numFmtId="0" fontId="14" fillId="6" borderId="5" xfId="0" applyFont="1" applyFill="1" applyBorder="1" applyAlignment="1">
      <alignment horizontal="left" vertical="center"/>
    </xf>
    <xf numFmtId="0" fontId="7" fillId="11" borderId="3" xfId="0" applyFont="1" applyFill="1" applyBorder="1" applyAlignment="1">
      <alignment horizontal="left" vertical="center" wrapText="1"/>
    </xf>
    <xf numFmtId="0" fontId="7" fillId="11" borderId="5" xfId="0" applyFont="1" applyFill="1" applyBorder="1" applyAlignment="1">
      <alignment horizontal="left" vertical="center"/>
    </xf>
    <xf numFmtId="0" fontId="14" fillId="6" borderId="3" xfId="0" applyFont="1" applyFill="1" applyBorder="1" applyAlignment="1">
      <alignment horizontal="left" vertical="center"/>
    </xf>
    <xf numFmtId="0" fontId="7" fillId="11" borderId="3" xfId="0" applyFont="1" applyFill="1" applyBorder="1" applyAlignment="1">
      <alignment horizontal="left" vertical="center"/>
    </xf>
    <xf numFmtId="0" fontId="7" fillId="11" borderId="52" xfId="0" applyFont="1" applyFill="1" applyBorder="1" applyAlignment="1">
      <alignment horizontal="left" vertical="center" wrapText="1"/>
    </xf>
    <xf numFmtId="0" fontId="7" fillId="11" borderId="16" xfId="0" applyFont="1" applyFill="1" applyBorder="1" applyAlignment="1">
      <alignment horizontal="left" vertical="center"/>
    </xf>
    <xf numFmtId="0" fontId="14" fillId="6" borderId="52" xfId="0" applyFont="1" applyFill="1" applyBorder="1" applyAlignment="1">
      <alignment horizontal="left" vertical="center"/>
    </xf>
    <xf numFmtId="0" fontId="14" fillId="6" borderId="16" xfId="0" applyFont="1" applyFill="1" applyBorder="1" applyAlignment="1">
      <alignment horizontal="left" vertical="center"/>
    </xf>
    <xf numFmtId="0" fontId="7" fillId="8" borderId="23" xfId="0" applyFont="1" applyFill="1" applyBorder="1" applyAlignment="1">
      <alignment horizontal="center" vertical="center" textRotation="255"/>
    </xf>
    <xf numFmtId="0" fontId="7" fillId="8" borderId="13" xfId="0" applyFont="1" applyFill="1" applyBorder="1" applyAlignment="1">
      <alignment horizontal="center" vertical="center" textRotation="255"/>
    </xf>
    <xf numFmtId="0" fontId="7" fillId="8" borderId="61" xfId="0" applyFont="1" applyFill="1" applyBorder="1" applyAlignment="1">
      <alignment horizontal="center" vertical="center" textRotation="255"/>
    </xf>
    <xf numFmtId="0" fontId="7" fillId="8" borderId="9" xfId="0" applyFont="1" applyFill="1" applyBorder="1" applyAlignment="1">
      <alignment horizontal="center" vertical="center" textRotation="255"/>
    </xf>
    <xf numFmtId="0" fontId="7" fillId="8" borderId="90" xfId="0" applyFont="1" applyFill="1" applyBorder="1" applyAlignment="1">
      <alignment horizontal="center" vertical="center" textRotation="255"/>
    </xf>
    <xf numFmtId="0" fontId="7" fillId="8" borderId="58" xfId="0" applyFont="1" applyFill="1" applyBorder="1" applyAlignment="1">
      <alignment horizontal="center" vertical="center" textRotation="255"/>
    </xf>
    <xf numFmtId="0" fontId="3" fillId="0" borderId="61" xfId="0" applyFont="1" applyBorder="1" applyAlignment="1">
      <alignment horizontal="right" vertical="center"/>
    </xf>
    <xf numFmtId="0" fontId="2" fillId="0" borderId="61" xfId="0" applyFont="1" applyBorder="1" applyAlignment="1">
      <alignment horizontal="right" vertical="center"/>
    </xf>
    <xf numFmtId="176" fontId="17" fillId="0" borderId="42" xfId="0" applyNumberFormat="1" applyFont="1" applyBorder="1" applyAlignment="1">
      <alignment horizontal="left" vertical="center"/>
    </xf>
    <xf numFmtId="176" fontId="17" fillId="0" borderId="80" xfId="0" applyNumberFormat="1" applyFont="1" applyBorder="1" applyAlignment="1">
      <alignment horizontal="left" vertical="center"/>
    </xf>
    <xf numFmtId="0" fontId="7" fillId="2" borderId="114" xfId="0" applyFont="1" applyFill="1" applyBorder="1" applyAlignment="1">
      <alignment horizontal="center" vertical="center" textRotation="255" wrapText="1"/>
    </xf>
    <xf numFmtId="0" fontId="7" fillId="2" borderId="62" xfId="0" applyFont="1" applyFill="1" applyBorder="1" applyAlignment="1">
      <alignment horizontal="center" vertical="center" textRotation="255" wrapText="1"/>
    </xf>
    <xf numFmtId="0" fontId="14" fillId="2" borderId="114" xfId="0" applyFont="1" applyFill="1" applyBorder="1" applyAlignment="1">
      <alignment horizontal="center" vertical="center" textRotation="255"/>
    </xf>
    <xf numFmtId="0" fontId="14" fillId="2" borderId="62" xfId="0" applyFont="1" applyFill="1" applyBorder="1" applyAlignment="1">
      <alignment horizontal="center" vertical="center" textRotation="255"/>
    </xf>
    <xf numFmtId="176" fontId="17" fillId="0" borderId="41" xfId="0" applyNumberFormat="1" applyFont="1" applyBorder="1" applyAlignment="1">
      <alignment horizontal="left" vertical="center"/>
    </xf>
    <xf numFmtId="0" fontId="14" fillId="2" borderId="52" xfId="0" applyFont="1" applyFill="1" applyBorder="1" applyAlignment="1">
      <alignment horizontal="left" vertical="center"/>
    </xf>
    <xf numFmtId="0" fontId="14" fillId="2" borderId="5" xfId="0" applyFont="1" applyFill="1" applyBorder="1" applyAlignment="1">
      <alignment horizontal="left" vertical="center"/>
    </xf>
    <xf numFmtId="0" fontId="7" fillId="2" borderId="52" xfId="0" applyFont="1" applyFill="1" applyBorder="1" applyAlignment="1">
      <alignment horizontal="left" vertical="center"/>
    </xf>
    <xf numFmtId="176" fontId="6" fillId="0" borderId="80" xfId="0" applyNumberFormat="1" applyFont="1" applyBorder="1" applyAlignment="1">
      <alignment horizontal="left" vertical="center"/>
    </xf>
    <xf numFmtId="176" fontId="6" fillId="0" borderId="76" xfId="0" applyNumberFormat="1" applyFont="1" applyBorder="1" applyAlignment="1">
      <alignment horizontal="left" vertical="center"/>
    </xf>
    <xf numFmtId="0" fontId="6" fillId="0" borderId="61" xfId="0" applyFont="1" applyBorder="1" applyAlignment="1">
      <alignment horizontal="right" vertical="center"/>
    </xf>
    <xf numFmtId="176" fontId="16" fillId="0" borderId="42" xfId="0" applyNumberFormat="1" applyFont="1" applyBorder="1" applyAlignment="1">
      <alignment horizontal="left" vertical="center" wrapText="1"/>
    </xf>
    <xf numFmtId="176" fontId="16" fillId="0" borderId="80" xfId="0" applyNumberFormat="1" applyFont="1" applyBorder="1" applyAlignment="1">
      <alignment horizontal="left" vertical="center" wrapText="1"/>
    </xf>
    <xf numFmtId="176" fontId="6" fillId="0" borderId="42" xfId="0" applyNumberFormat="1" applyFont="1" applyBorder="1" applyAlignment="1">
      <alignment horizontal="left" vertical="center"/>
    </xf>
    <xf numFmtId="176" fontId="3" fillId="0" borderId="80" xfId="0" applyNumberFormat="1" applyFont="1" applyBorder="1" applyAlignment="1">
      <alignment horizontal="left" vertical="center" wrapText="1"/>
    </xf>
    <xf numFmtId="176" fontId="3" fillId="0" borderId="76" xfId="0" applyNumberFormat="1" applyFont="1" applyBorder="1" applyAlignment="1">
      <alignment horizontal="left" vertical="center"/>
    </xf>
    <xf numFmtId="176" fontId="6" fillId="0" borderId="76" xfId="0" applyNumberFormat="1" applyFont="1" applyBorder="1" applyAlignment="1">
      <alignment horizontal="center" vertical="center"/>
    </xf>
    <xf numFmtId="0" fontId="6" fillId="0" borderId="0" xfId="0" applyFont="1" applyBorder="1" applyAlignment="1">
      <alignment horizontal="right" vertical="center" wrapText="1"/>
    </xf>
    <xf numFmtId="0" fontId="6" fillId="0" borderId="0" xfId="0" applyFont="1" applyBorder="1" applyAlignment="1">
      <alignment horizontal="right" vertical="center"/>
    </xf>
    <xf numFmtId="0" fontId="6" fillId="0" borderId="61" xfId="0" applyFont="1" applyBorder="1" applyAlignment="1">
      <alignment horizontal="right" vertical="center" wrapText="1"/>
    </xf>
    <xf numFmtId="176" fontId="3" fillId="0" borderId="76" xfId="0" applyNumberFormat="1" applyFont="1" applyBorder="1" applyAlignment="1">
      <alignment horizontal="left" vertical="center" wrapText="1"/>
    </xf>
    <xf numFmtId="0" fontId="14" fillId="8" borderId="79" xfId="0" applyFont="1" applyFill="1" applyBorder="1" applyAlignment="1">
      <alignment horizontal="left" vertical="center"/>
    </xf>
    <xf numFmtId="0" fontId="14" fillId="8" borderId="46" xfId="0" applyFont="1" applyFill="1" applyBorder="1" applyAlignment="1">
      <alignment horizontal="left" vertical="center"/>
    </xf>
    <xf numFmtId="0" fontId="14" fillId="8" borderId="60" xfId="0" applyFont="1" applyFill="1" applyBorder="1" applyAlignment="1">
      <alignment horizontal="left" vertical="center"/>
    </xf>
    <xf numFmtId="0" fontId="14" fillId="8" borderId="12" xfId="0" applyFont="1" applyFill="1" applyBorder="1" applyAlignment="1">
      <alignment horizontal="left" vertical="center"/>
    </xf>
    <xf numFmtId="176" fontId="6" fillId="0" borderId="76" xfId="0" applyNumberFormat="1" applyFont="1" applyBorder="1" applyAlignment="1">
      <alignment horizontal="right" vertical="center"/>
    </xf>
    <xf numFmtId="176" fontId="6" fillId="0" borderId="40" xfId="0" applyNumberFormat="1" applyFont="1" applyBorder="1" applyAlignment="1">
      <alignment horizontal="right" vertical="center"/>
    </xf>
    <xf numFmtId="176" fontId="6" fillId="0" borderId="80" xfId="0" applyNumberFormat="1" applyFont="1" applyBorder="1" applyAlignment="1">
      <alignment horizontal="center" vertical="center"/>
    </xf>
    <xf numFmtId="176" fontId="6" fillId="0" borderId="40" xfId="0" applyNumberFormat="1" applyFont="1" applyBorder="1" applyAlignment="1">
      <alignment horizontal="center" vertical="center"/>
    </xf>
    <xf numFmtId="176" fontId="6" fillId="0" borderId="30" xfId="0" applyNumberFormat="1" applyFont="1" applyBorder="1" applyAlignment="1">
      <alignment horizontal="right" vertical="center"/>
    </xf>
    <xf numFmtId="176" fontId="12" fillId="0" borderId="41" xfId="0" applyNumberFormat="1" applyFont="1" applyBorder="1" applyAlignment="1">
      <alignment horizontal="left" vertical="top" wrapText="1"/>
    </xf>
    <xf numFmtId="176" fontId="12" fillId="0" borderId="41" xfId="0" applyNumberFormat="1" applyFont="1" applyBorder="1" applyAlignment="1">
      <alignment horizontal="left" vertical="top"/>
    </xf>
    <xf numFmtId="176" fontId="12" fillId="0" borderId="48" xfId="0" applyNumberFormat="1" applyFont="1" applyBorder="1" applyAlignment="1">
      <alignment horizontal="left" vertical="top"/>
    </xf>
    <xf numFmtId="176" fontId="6" fillId="0" borderId="42" xfId="0" applyNumberFormat="1" applyFont="1" applyBorder="1" applyAlignment="1">
      <alignment horizontal="center" vertical="center"/>
    </xf>
    <xf numFmtId="176" fontId="6" fillId="0" borderId="30" xfId="0" applyNumberFormat="1" applyFont="1" applyBorder="1" applyAlignment="1">
      <alignment horizontal="left" vertical="center"/>
    </xf>
    <xf numFmtId="176" fontId="6" fillId="0" borderId="30" xfId="0" applyNumberFormat="1" applyFont="1" applyBorder="1" applyAlignment="1">
      <alignment horizontal="center" vertical="center"/>
    </xf>
    <xf numFmtId="176" fontId="6" fillId="0" borderId="40" xfId="0" applyNumberFormat="1" applyFont="1" applyBorder="1" applyAlignment="1">
      <alignment horizontal="left" vertical="center"/>
    </xf>
    <xf numFmtId="0" fontId="0" fillId="0" borderId="0" xfId="0" applyAlignment="1">
      <alignment horizontal="center" vertical="center"/>
    </xf>
    <xf numFmtId="0" fontId="6" fillId="0" borderId="61" xfId="0" applyFont="1" applyBorder="1" applyAlignment="1">
      <alignment horizontal="center" vertical="center" wrapText="1"/>
    </xf>
    <xf numFmtId="0" fontId="6" fillId="0" borderId="61" xfId="0" applyFont="1" applyBorder="1" applyAlignment="1">
      <alignment horizontal="center" vertical="center"/>
    </xf>
    <xf numFmtId="176" fontId="21" fillId="0" borderId="30" xfId="0" applyNumberFormat="1" applyFont="1" applyBorder="1" applyAlignment="1">
      <alignment horizontal="left" vertical="center" wrapText="1"/>
    </xf>
    <xf numFmtId="176" fontId="21" fillId="0" borderId="41" xfId="0" applyNumberFormat="1" applyFont="1" applyBorder="1" applyAlignment="1">
      <alignment horizontal="left" vertical="center" wrapText="1"/>
    </xf>
    <xf numFmtId="176" fontId="21" fillId="0" borderId="40" xfId="0" applyNumberFormat="1" applyFont="1" applyBorder="1" applyAlignment="1">
      <alignment horizontal="left" vertical="center" wrapText="1"/>
    </xf>
    <xf numFmtId="176" fontId="17" fillId="0" borderId="76" xfId="0" applyNumberFormat="1" applyFont="1" applyBorder="1" applyAlignment="1">
      <alignment horizontal="left" vertical="center"/>
    </xf>
    <xf numFmtId="0" fontId="6" fillId="0" borderId="38" xfId="0" applyFont="1" applyBorder="1" applyAlignment="1">
      <alignment horizontal="center" vertical="center" wrapText="1"/>
    </xf>
    <xf numFmtId="0" fontId="6" fillId="0" borderId="48" xfId="0" applyFont="1" applyBorder="1" applyAlignment="1">
      <alignment horizontal="center" vertical="center" wrapText="1"/>
    </xf>
    <xf numFmtId="0" fontId="8" fillId="3" borderId="0" xfId="0" applyFont="1" applyFill="1" applyBorder="1" applyAlignment="1">
      <alignment horizontal="center" vertical="center" wrapText="1"/>
    </xf>
    <xf numFmtId="0" fontId="6" fillId="0" borderId="41" xfId="0" applyFont="1" applyBorder="1" applyAlignment="1">
      <alignment horizontal="center" vertical="center" wrapText="1"/>
    </xf>
    <xf numFmtId="176" fontId="17" fillId="3" borderId="76" xfId="0" applyNumberFormat="1" applyFont="1" applyFill="1" applyBorder="1" applyAlignment="1">
      <alignment horizontal="left" vertical="center"/>
    </xf>
    <xf numFmtId="176" fontId="19" fillId="3" borderId="76" xfId="0" applyNumberFormat="1" applyFont="1" applyFill="1" applyBorder="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176" fontId="17" fillId="0" borderId="48" xfId="0" applyNumberFormat="1" applyFont="1" applyBorder="1" applyAlignment="1">
      <alignment horizontal="left" vertical="center"/>
    </xf>
    <xf numFmtId="0" fontId="6" fillId="0" borderId="90" xfId="0" applyFont="1" applyBorder="1" applyAlignment="1">
      <alignment horizontal="center" vertical="center"/>
    </xf>
    <xf numFmtId="0" fontId="6" fillId="0" borderId="74" xfId="0" applyFont="1" applyBorder="1" applyAlignment="1">
      <alignment horizontal="center" vertical="center"/>
    </xf>
    <xf numFmtId="0" fontId="6" fillId="0" borderId="59" xfId="0" applyFont="1" applyBorder="1" applyAlignment="1">
      <alignment horizontal="center" vertical="center"/>
    </xf>
    <xf numFmtId="0" fontId="7" fillId="5" borderId="3" xfId="0" applyFont="1" applyFill="1" applyBorder="1" applyAlignment="1">
      <alignment horizontal="left" vertical="center"/>
    </xf>
    <xf numFmtId="0" fontId="7" fillId="5" borderId="5" xfId="0" applyFont="1" applyFill="1" applyBorder="1" applyAlignment="1">
      <alignment horizontal="left" vertical="center"/>
    </xf>
    <xf numFmtId="0" fontId="14" fillId="2" borderId="46" xfId="0" applyFont="1" applyFill="1" applyBorder="1" applyAlignment="1">
      <alignment vertical="center"/>
    </xf>
    <xf numFmtId="0" fontId="14" fillId="2" borderId="12" xfId="0" applyFont="1" applyFill="1" applyBorder="1" applyAlignment="1">
      <alignment vertical="center"/>
    </xf>
    <xf numFmtId="0" fontId="7" fillId="2" borderId="3" xfId="0" applyFont="1" applyFill="1" applyBorder="1" applyAlignment="1">
      <alignment horizontal="left" vertical="center" wrapText="1"/>
    </xf>
    <xf numFmtId="0" fontId="14" fillId="8" borderId="61" xfId="0" applyFont="1" applyFill="1" applyBorder="1" applyAlignment="1">
      <alignment horizontal="left" vertical="center"/>
    </xf>
    <xf numFmtId="0" fontId="14" fillId="8" borderId="22" xfId="0" applyFont="1" applyFill="1" applyBorder="1" applyAlignment="1">
      <alignment horizontal="left" vertical="center"/>
    </xf>
    <xf numFmtId="0" fontId="14" fillId="8" borderId="90" xfId="0" applyFont="1" applyFill="1" applyBorder="1" applyAlignment="1">
      <alignment horizontal="left" vertical="center"/>
    </xf>
    <xf numFmtId="0" fontId="14" fillId="8" borderId="59" xfId="0" applyFont="1" applyFill="1" applyBorder="1" applyAlignment="1">
      <alignment horizontal="left" vertical="center"/>
    </xf>
    <xf numFmtId="0" fontId="14" fillId="6" borderId="7" xfId="0" applyFont="1" applyFill="1" applyBorder="1" applyAlignment="1">
      <alignment horizontal="left" vertical="center"/>
    </xf>
    <xf numFmtId="0" fontId="7" fillId="5" borderId="52" xfId="0" applyFont="1" applyFill="1" applyBorder="1" applyAlignment="1">
      <alignment horizontal="left" vertical="center"/>
    </xf>
    <xf numFmtId="0" fontId="7" fillId="5" borderId="3" xfId="0" applyFont="1" applyFill="1" applyBorder="1" applyAlignment="1">
      <alignment horizontal="left" vertical="center" wrapText="1"/>
    </xf>
    <xf numFmtId="0" fontId="15" fillId="2" borderId="52" xfId="0" applyFont="1" applyFill="1" applyBorder="1" applyAlignment="1">
      <alignment horizontal="left" vertical="center" wrapText="1"/>
    </xf>
    <xf numFmtId="0" fontId="15" fillId="2" borderId="5" xfId="0" applyFont="1" applyFill="1" applyBorder="1" applyAlignment="1">
      <alignment horizontal="left" vertical="center"/>
    </xf>
    <xf numFmtId="0" fontId="7" fillId="9" borderId="16" xfId="0" applyFont="1" applyFill="1" applyBorder="1" applyAlignment="1">
      <alignment horizontal="left" vertical="center"/>
    </xf>
    <xf numFmtId="0" fontId="7" fillId="8" borderId="52" xfId="0" applyFont="1" applyFill="1" applyBorder="1" applyAlignment="1">
      <alignment horizontal="left" vertical="center"/>
    </xf>
    <xf numFmtId="0" fontId="7" fillId="8" borderId="16" xfId="0" applyFont="1" applyFill="1" applyBorder="1" applyAlignment="1">
      <alignment horizontal="left" vertical="center"/>
    </xf>
    <xf numFmtId="0" fontId="7" fillId="6" borderId="23" xfId="0" applyFont="1" applyFill="1" applyBorder="1" applyAlignment="1">
      <alignment horizontal="center" vertical="center" textRotation="255"/>
    </xf>
    <xf numFmtId="0" fontId="7" fillId="6" borderId="13" xfId="0" applyFont="1" applyFill="1" applyBorder="1" applyAlignment="1">
      <alignment horizontal="center" vertical="center" textRotation="255"/>
    </xf>
    <xf numFmtId="0" fontId="7" fillId="6" borderId="61" xfId="0" applyFont="1" applyFill="1" applyBorder="1" applyAlignment="1">
      <alignment horizontal="center" vertical="center" textRotation="255"/>
    </xf>
    <xf numFmtId="0" fontId="7" fillId="6" borderId="9" xfId="0" applyFont="1" applyFill="1" applyBorder="1" applyAlignment="1">
      <alignment horizontal="center" vertical="center" textRotation="255"/>
    </xf>
    <xf numFmtId="0" fontId="7" fillId="6" borderId="90" xfId="0" applyFont="1" applyFill="1" applyBorder="1" applyAlignment="1">
      <alignment horizontal="center" vertical="center" textRotation="255"/>
    </xf>
    <xf numFmtId="0" fontId="7" fillId="6" borderId="58" xfId="0" applyFont="1" applyFill="1" applyBorder="1" applyAlignment="1">
      <alignment horizontal="center" vertical="center" textRotation="255"/>
    </xf>
    <xf numFmtId="0" fontId="14" fillId="10" borderId="3" xfId="0" applyFont="1" applyFill="1" applyBorder="1" applyAlignment="1">
      <alignment horizontal="left" vertical="center"/>
    </xf>
    <xf numFmtId="0" fontId="14" fillId="10" borderId="16" xfId="0" applyFont="1" applyFill="1" applyBorder="1" applyAlignment="1">
      <alignment horizontal="left" vertical="center"/>
    </xf>
    <xf numFmtId="0" fontId="7" fillId="11" borderId="23" xfId="0" applyFont="1" applyFill="1" applyBorder="1" applyAlignment="1">
      <alignment horizontal="center" vertical="center" textRotation="255"/>
    </xf>
    <xf numFmtId="0" fontId="7" fillId="11" borderId="13" xfId="0" applyFont="1" applyFill="1" applyBorder="1" applyAlignment="1">
      <alignment horizontal="center" vertical="center" textRotation="255"/>
    </xf>
    <xf numFmtId="0" fontId="7" fillId="11" borderId="61" xfId="0" applyFont="1" applyFill="1" applyBorder="1" applyAlignment="1">
      <alignment horizontal="center" vertical="center" textRotation="255"/>
    </xf>
    <xf numFmtId="0" fontId="7" fillId="11" borderId="9" xfId="0" applyFont="1" applyFill="1" applyBorder="1" applyAlignment="1">
      <alignment horizontal="center" vertical="center" textRotation="255"/>
    </xf>
    <xf numFmtId="0" fontId="7" fillId="11" borderId="90" xfId="0" applyFont="1" applyFill="1" applyBorder="1" applyAlignment="1">
      <alignment horizontal="center" vertical="center" textRotation="255"/>
    </xf>
    <xf numFmtId="0" fontId="7" fillId="11" borderId="58" xfId="0" applyFont="1" applyFill="1" applyBorder="1" applyAlignment="1">
      <alignment horizontal="center" vertical="center" textRotation="255"/>
    </xf>
    <xf numFmtId="0" fontId="7" fillId="10" borderId="61" xfId="0" applyFont="1" applyFill="1" applyBorder="1" applyAlignment="1">
      <alignment horizontal="center" vertical="center" textRotation="255"/>
    </xf>
    <xf numFmtId="0" fontId="7" fillId="10" borderId="9" xfId="0" applyFont="1" applyFill="1" applyBorder="1" applyAlignment="1">
      <alignment horizontal="center" vertical="center" textRotation="255"/>
    </xf>
    <xf numFmtId="0" fontId="7" fillId="10" borderId="90" xfId="0" applyFont="1" applyFill="1" applyBorder="1" applyAlignment="1">
      <alignment horizontal="center" vertical="center" textRotation="255"/>
    </xf>
    <xf numFmtId="0" fontId="7" fillId="10" borderId="58" xfId="0" applyFont="1" applyFill="1" applyBorder="1" applyAlignment="1">
      <alignment horizontal="center" vertical="center" textRotation="255"/>
    </xf>
    <xf numFmtId="0" fontId="7" fillId="9" borderId="61" xfId="0" applyFont="1" applyFill="1" applyBorder="1" applyAlignment="1">
      <alignment horizontal="center" vertical="center" textRotation="255"/>
    </xf>
    <xf numFmtId="0" fontId="7" fillId="9" borderId="9" xfId="0" applyFont="1" applyFill="1" applyBorder="1" applyAlignment="1">
      <alignment horizontal="center" vertical="center" textRotation="255"/>
    </xf>
    <xf numFmtId="0" fontId="7" fillId="9" borderId="90" xfId="0" applyFont="1" applyFill="1" applyBorder="1" applyAlignment="1">
      <alignment horizontal="center" vertical="center" textRotation="255"/>
    </xf>
    <xf numFmtId="0" fontId="7" fillId="9" borderId="58" xfId="0" applyFont="1" applyFill="1" applyBorder="1" applyAlignment="1">
      <alignment horizontal="center" vertical="center" textRotation="255"/>
    </xf>
    <xf numFmtId="0" fontId="7" fillId="5" borderId="23" xfId="0" applyFont="1" applyFill="1" applyBorder="1" applyAlignment="1">
      <alignment horizontal="center" vertical="center" textRotation="255"/>
    </xf>
    <xf numFmtId="0" fontId="7" fillId="5" borderId="61" xfId="0" applyFont="1" applyFill="1" applyBorder="1" applyAlignment="1">
      <alignment horizontal="center" vertical="center" textRotation="255"/>
    </xf>
    <xf numFmtId="0" fontId="7" fillId="5" borderId="90" xfId="0" applyFont="1" applyFill="1" applyBorder="1" applyAlignment="1">
      <alignment horizontal="center" vertical="center" textRotation="255"/>
    </xf>
    <xf numFmtId="0" fontId="20" fillId="5" borderId="114" xfId="0" applyFont="1" applyFill="1" applyBorder="1" applyAlignment="1">
      <alignment horizontal="center" vertical="center" textRotation="255" wrapText="1"/>
    </xf>
    <xf numFmtId="0" fontId="20" fillId="5" borderId="62" xfId="0" applyFont="1" applyFill="1" applyBorder="1" applyAlignment="1">
      <alignment horizontal="center" vertical="center" textRotation="255"/>
    </xf>
    <xf numFmtId="0" fontId="7" fillId="2" borderId="52" xfId="0" applyFont="1" applyFill="1" applyBorder="1" applyAlignment="1">
      <alignment horizontal="left" vertical="center" wrapText="1"/>
    </xf>
    <xf numFmtId="0" fontId="7" fillId="2" borderId="16" xfId="0" applyFont="1" applyFill="1" applyBorder="1" applyAlignment="1">
      <alignment horizontal="left" vertical="center"/>
    </xf>
    <xf numFmtId="0" fontId="7" fillId="2" borderId="113" xfId="0" applyFont="1" applyFill="1" applyBorder="1" applyAlignment="1">
      <alignment horizontal="center" vertical="center" textRotation="255" wrapText="1"/>
    </xf>
    <xf numFmtId="0" fontId="5" fillId="0" borderId="0" xfId="0" applyFont="1" applyAlignment="1">
      <alignment horizontal="center" vertical="center"/>
    </xf>
    <xf numFmtId="0" fontId="6" fillId="0" borderId="38" xfId="0" applyFont="1" applyBorder="1" applyAlignment="1">
      <alignment horizontal="center" vertical="center"/>
    </xf>
    <xf numFmtId="0" fontId="6" fillId="0" borderId="48"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6" xfId="0" applyFont="1" applyBorder="1" applyAlignment="1">
      <alignment horizontal="center" vertical="center"/>
    </xf>
    <xf numFmtId="0" fontId="6" fillId="0" borderId="10" xfId="0" applyFont="1" applyBorder="1" applyAlignment="1">
      <alignment horizontal="center" vertical="center"/>
    </xf>
    <xf numFmtId="0" fontId="6" fillId="0" borderId="13" xfId="0" applyFont="1" applyBorder="1" applyAlignment="1">
      <alignment horizontal="center" vertical="center"/>
    </xf>
    <xf numFmtId="0" fontId="6" fillId="0" borderId="27" xfId="0" applyFont="1" applyBorder="1" applyAlignment="1">
      <alignment horizontal="center" vertical="center"/>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14" fillId="2" borderId="22" xfId="0" applyFont="1" applyFill="1" applyBorder="1" applyAlignment="1">
      <alignment vertical="center"/>
    </xf>
    <xf numFmtId="0" fontId="6" fillId="0" borderId="91" xfId="0" applyFont="1" applyBorder="1" applyAlignment="1">
      <alignment horizontal="center" vertical="center"/>
    </xf>
    <xf numFmtId="0" fontId="6" fillId="0" borderId="92" xfId="0" applyFont="1" applyBorder="1" applyAlignment="1">
      <alignment horizontal="center" vertical="center"/>
    </xf>
    <xf numFmtId="0" fontId="6" fillId="0" borderId="93" xfId="0" applyFont="1" applyBorder="1" applyAlignment="1">
      <alignment horizontal="center" vertical="center"/>
    </xf>
    <xf numFmtId="0" fontId="6" fillId="0" borderId="98" xfId="0" applyFont="1" applyBorder="1" applyAlignment="1">
      <alignment horizontal="center" vertical="center"/>
    </xf>
    <xf numFmtId="0" fontId="6" fillId="0" borderId="99" xfId="0" applyFont="1" applyBorder="1" applyAlignment="1">
      <alignment horizontal="center" vertical="center"/>
    </xf>
    <xf numFmtId="0" fontId="6" fillId="0" borderId="100" xfId="0" applyFont="1" applyBorder="1" applyAlignment="1">
      <alignment horizontal="center" vertical="center"/>
    </xf>
    <xf numFmtId="0" fontId="7" fillId="8" borderId="105" xfId="0" applyFont="1" applyFill="1" applyBorder="1" applyAlignment="1">
      <alignment horizontal="center" vertical="center" textRotation="255"/>
    </xf>
    <xf numFmtId="0" fontId="7" fillId="8" borderId="30" xfId="0" applyFont="1" applyFill="1" applyBorder="1" applyAlignment="1">
      <alignment horizontal="center" vertical="center" textRotation="255"/>
    </xf>
    <xf numFmtId="0" fontId="7" fillId="8" borderId="40" xfId="0" applyFont="1" applyFill="1" applyBorder="1" applyAlignment="1">
      <alignment horizontal="center" vertical="center" textRotation="255"/>
    </xf>
    <xf numFmtId="0" fontId="14" fillId="10" borderId="7" xfId="0" applyFont="1" applyFill="1" applyBorder="1" applyAlignment="1">
      <alignment horizontal="left" vertical="center" wrapText="1"/>
    </xf>
    <xf numFmtId="0" fontId="6" fillId="0" borderId="49" xfId="0" applyFont="1" applyBorder="1" applyAlignment="1">
      <alignment horizontal="center" vertical="center" wrapText="1"/>
    </xf>
    <xf numFmtId="0" fontId="6" fillId="0" borderId="69" xfId="0" applyFont="1" applyBorder="1" applyAlignment="1">
      <alignment horizontal="center" vertical="center" wrapText="1"/>
    </xf>
    <xf numFmtId="0" fontId="6" fillId="0" borderId="50" xfId="0" applyFont="1" applyBorder="1" applyAlignment="1">
      <alignment horizontal="center" vertical="center" wrapText="1"/>
    </xf>
    <xf numFmtId="0" fontId="6" fillId="4" borderId="51" xfId="0" applyFont="1" applyFill="1" applyBorder="1" applyAlignment="1">
      <alignment horizontal="center" vertical="center" wrapText="1"/>
    </xf>
    <xf numFmtId="0" fontId="6" fillId="4" borderId="70" xfId="0" applyFont="1" applyFill="1" applyBorder="1" applyAlignment="1">
      <alignment horizontal="center" vertical="center" wrapText="1"/>
    </xf>
    <xf numFmtId="0" fontId="6" fillId="4" borderId="15" xfId="0" applyFont="1" applyFill="1" applyBorder="1" applyAlignment="1">
      <alignment horizontal="center" vertical="center" wrapText="1"/>
    </xf>
    <xf numFmtId="49" fontId="0" fillId="0" borderId="0" xfId="0" applyNumberFormat="1" applyAlignment="1">
      <alignment horizontal="left" vertical="top" wrapText="1"/>
    </xf>
  </cellXfs>
  <cellStyles count="2">
    <cellStyle name="桁区切り" xfId="1" builtinId="6"/>
    <cellStyle name="標準" xfId="0" builtinId="0"/>
  </cellStyles>
  <dxfs count="0"/>
  <tableStyles count="0" defaultTableStyle="TableStyleMedium2" defaultPivotStyle="PivotStyleLight16"/>
  <colors>
    <mruColors>
      <color rgb="FFDECDC4"/>
      <color rgb="FFCCCC00"/>
      <color rgb="FFCC99FF"/>
      <color rgb="FFFFFFCC"/>
      <color rgb="FFFFCCFF"/>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64C50-692F-43EB-BD77-B247058FA6A6}">
  <sheetPr>
    <tabColor rgb="FF00B0F0"/>
    <pageSetUpPr fitToPage="1"/>
  </sheetPr>
  <dimension ref="B1:S296"/>
  <sheetViews>
    <sheetView showGridLines="0" showRowColHeaders="0" tabSelected="1" zoomScale="85" zoomScaleNormal="85" workbookViewId="0">
      <pane ySplit="9" topLeftCell="A10" activePane="bottomLeft" state="frozenSplit"/>
      <selection pane="bottomLeft" activeCell="E24" sqref="E24"/>
    </sheetView>
  </sheetViews>
  <sheetFormatPr defaultRowHeight="18.75" x14ac:dyDescent="0.4"/>
  <cols>
    <col min="1" max="1" width="4.125" customWidth="1"/>
    <col min="4" max="4" width="33.5" customWidth="1"/>
    <col min="5" max="11" width="23.625" customWidth="1"/>
    <col min="12" max="12" width="20.625" customWidth="1"/>
    <col min="13" max="13" width="31.125" customWidth="1"/>
    <col min="14" max="14" width="41.75" customWidth="1"/>
    <col min="15" max="16" width="9" customWidth="1"/>
  </cols>
  <sheetData>
    <row r="1" spans="2:15" ht="48.75" customHeight="1" thickBot="1" x14ac:dyDescent="0.45">
      <c r="B1" s="459" t="s">
        <v>139</v>
      </c>
      <c r="C1" s="459"/>
      <c r="D1" s="459"/>
      <c r="E1" s="459"/>
      <c r="F1" s="459"/>
      <c r="G1" s="459"/>
      <c r="H1" s="459"/>
      <c r="I1" s="459"/>
      <c r="J1" s="459"/>
      <c r="K1" s="459"/>
      <c r="L1" s="459"/>
      <c r="M1" s="459"/>
    </row>
    <row r="2" spans="2:15" ht="21.95" customHeight="1" x14ac:dyDescent="0.4">
      <c r="B2" s="2"/>
      <c r="C2" s="7"/>
      <c r="D2" s="7"/>
      <c r="E2" s="7"/>
      <c r="F2" s="7"/>
      <c r="G2" s="7"/>
      <c r="H2" s="7"/>
      <c r="I2" s="460" t="s">
        <v>24</v>
      </c>
      <c r="J2" s="482" t="s">
        <v>25</v>
      </c>
      <c r="K2" s="483"/>
      <c r="L2" s="484"/>
      <c r="M2" s="6"/>
    </row>
    <row r="3" spans="2:15" ht="21.95" customHeight="1" thickBot="1" x14ac:dyDescent="0.45">
      <c r="B3" s="3" t="s">
        <v>152</v>
      </c>
      <c r="C3" s="4"/>
      <c r="D3" s="4"/>
      <c r="E3" s="8"/>
      <c r="F3" s="8"/>
      <c r="G3" s="8"/>
      <c r="H3" s="8"/>
      <c r="I3" s="461"/>
      <c r="J3" s="485" t="s">
        <v>129</v>
      </c>
      <c r="K3" s="486"/>
      <c r="L3" s="487"/>
      <c r="M3" s="95"/>
    </row>
    <row r="4" spans="2:15" ht="6.75" customHeight="1" thickBot="1" x14ac:dyDescent="0.45">
      <c r="B4" s="3"/>
      <c r="C4" s="4"/>
      <c r="D4" s="4"/>
      <c r="J4" s="5"/>
      <c r="K4" s="6"/>
      <c r="L4" s="5"/>
      <c r="M4" s="5"/>
    </row>
    <row r="5" spans="2:15" ht="25.5" x14ac:dyDescent="0.4">
      <c r="B5" s="462" t="s">
        <v>4</v>
      </c>
      <c r="C5" s="463"/>
      <c r="D5" s="464"/>
      <c r="E5" s="465" t="s">
        <v>13</v>
      </c>
      <c r="F5" s="466"/>
      <c r="G5" s="11" t="s">
        <v>0</v>
      </c>
      <c r="H5" s="467" t="s">
        <v>1</v>
      </c>
      <c r="I5" s="466"/>
      <c r="J5" s="12" t="s">
        <v>2</v>
      </c>
      <c r="K5" s="13" t="s">
        <v>3</v>
      </c>
      <c r="L5" s="400" t="s">
        <v>66</v>
      </c>
      <c r="M5" s="400" t="s">
        <v>85</v>
      </c>
      <c r="N5" s="394"/>
      <c r="O5" s="393"/>
    </row>
    <row r="6" spans="2:15" ht="45.75" customHeight="1" thickBot="1" x14ac:dyDescent="0.45">
      <c r="B6" s="468" t="s">
        <v>33</v>
      </c>
      <c r="C6" s="469"/>
      <c r="D6" s="470"/>
      <c r="E6" s="14" t="s">
        <v>38</v>
      </c>
      <c r="F6" s="67" t="s">
        <v>45</v>
      </c>
      <c r="G6" s="15" t="s">
        <v>34</v>
      </c>
      <c r="H6" s="16" t="s">
        <v>43</v>
      </c>
      <c r="I6" s="17" t="s">
        <v>35</v>
      </c>
      <c r="J6" s="15" t="s">
        <v>36</v>
      </c>
      <c r="K6" s="18" t="s">
        <v>37</v>
      </c>
      <c r="L6" s="401"/>
      <c r="M6" s="403"/>
      <c r="N6" s="395"/>
      <c r="O6" s="393"/>
    </row>
    <row r="7" spans="2:15" ht="30.75" customHeight="1" x14ac:dyDescent="0.4">
      <c r="B7" s="472" t="s">
        <v>32</v>
      </c>
      <c r="C7" s="473"/>
      <c r="D7" s="474"/>
      <c r="E7" s="96">
        <v>1579</v>
      </c>
      <c r="F7" s="97">
        <v>33</v>
      </c>
      <c r="G7" s="98">
        <v>1473</v>
      </c>
      <c r="H7" s="99">
        <v>810</v>
      </c>
      <c r="I7" s="100" t="s">
        <v>83</v>
      </c>
      <c r="J7" s="101">
        <v>624</v>
      </c>
      <c r="K7" s="102">
        <v>571</v>
      </c>
      <c r="L7" s="103">
        <f>SUM(E7:H7,J7:K7)</f>
        <v>5090</v>
      </c>
      <c r="M7" s="396" t="s">
        <v>138</v>
      </c>
    </row>
    <row r="8" spans="2:15" ht="30.75" customHeight="1" thickBot="1" x14ac:dyDescent="0.45">
      <c r="B8" s="475" t="s">
        <v>153</v>
      </c>
      <c r="C8" s="476"/>
      <c r="D8" s="477"/>
      <c r="E8" s="105">
        <f>E7/L7</f>
        <v>0.31021611001964638</v>
      </c>
      <c r="F8" s="106">
        <f>F7/L7</f>
        <v>6.4833005893909623E-3</v>
      </c>
      <c r="G8" s="107">
        <f>G7/L7</f>
        <v>0.28939096267190567</v>
      </c>
      <c r="H8" s="108">
        <f>H7/L7</f>
        <v>0.15913555992141454</v>
      </c>
      <c r="I8" s="109" t="s">
        <v>97</v>
      </c>
      <c r="J8" s="110">
        <f>J7/L7</f>
        <v>0.12259332023575638</v>
      </c>
      <c r="K8" s="111">
        <f>K7/L7</f>
        <v>0.11218074656188605</v>
      </c>
      <c r="L8" s="104">
        <f>SUM(E8:H8,J8:K8)</f>
        <v>1.0000000000000002</v>
      </c>
      <c r="M8" s="397"/>
    </row>
    <row r="9" spans="2:15" ht="29.25" customHeight="1" thickBot="1" x14ac:dyDescent="0.45">
      <c r="B9" s="409" t="s">
        <v>40</v>
      </c>
      <c r="C9" s="410"/>
      <c r="D9" s="411"/>
      <c r="E9" s="173">
        <v>656</v>
      </c>
      <c r="F9" s="174">
        <v>15</v>
      </c>
      <c r="G9" s="175">
        <v>589</v>
      </c>
      <c r="H9" s="176">
        <v>307</v>
      </c>
      <c r="I9" s="177" t="s">
        <v>84</v>
      </c>
      <c r="J9" s="178">
        <v>240</v>
      </c>
      <c r="K9" s="179">
        <v>220</v>
      </c>
      <c r="L9" s="180">
        <f>SUM(E9:H9,J9:K9)</f>
        <v>2027</v>
      </c>
      <c r="M9" s="398"/>
    </row>
    <row r="10" spans="2:15" ht="21.95" customHeight="1" thickBot="1" x14ac:dyDescent="0.45">
      <c r="B10" s="478" t="s">
        <v>119</v>
      </c>
      <c r="C10" s="377" t="s">
        <v>86</v>
      </c>
      <c r="D10" s="378"/>
      <c r="E10" s="227">
        <v>0</v>
      </c>
      <c r="F10" s="134">
        <v>0</v>
      </c>
      <c r="G10" s="135">
        <v>0</v>
      </c>
      <c r="H10" s="136">
        <v>0</v>
      </c>
      <c r="I10" s="134">
        <v>0</v>
      </c>
      <c r="J10" s="135">
        <v>0</v>
      </c>
      <c r="K10" s="137">
        <v>0</v>
      </c>
      <c r="L10" s="138">
        <v>0</v>
      </c>
      <c r="M10" s="367" t="s">
        <v>114</v>
      </c>
      <c r="N10" s="373"/>
    </row>
    <row r="11" spans="2:15" ht="21.95" customHeight="1" thickBot="1" x14ac:dyDescent="0.45">
      <c r="B11" s="478"/>
      <c r="C11" s="379"/>
      <c r="D11" s="380"/>
      <c r="E11" s="181">
        <f>(E7*0.5*3)/50</f>
        <v>47.37</v>
      </c>
      <c r="F11" s="182">
        <f>(F7*0.5*3)/50</f>
        <v>0.99</v>
      </c>
      <c r="G11" s="181">
        <f>(G7*0.5*3)/50</f>
        <v>44.19</v>
      </c>
      <c r="H11" s="181">
        <f>(H7*0.5*3)/50</f>
        <v>24.3</v>
      </c>
      <c r="I11" s="182">
        <f>(20*0.5*3)/50</f>
        <v>0.6</v>
      </c>
      <c r="J11" s="183">
        <f>(J7*0.5*3)/50</f>
        <v>18.72</v>
      </c>
      <c r="K11" s="184">
        <f>(K7*0.5*3)/50</f>
        <v>17.13</v>
      </c>
      <c r="L11" s="185">
        <f>SUM(E11:K11)</f>
        <v>153.29999999999998</v>
      </c>
      <c r="M11" s="368"/>
      <c r="N11" s="374"/>
    </row>
    <row r="12" spans="2:15" ht="21.95" customHeight="1" thickBot="1" x14ac:dyDescent="0.45">
      <c r="B12" s="478"/>
      <c r="C12" s="377" t="s">
        <v>87</v>
      </c>
      <c r="D12" s="378"/>
      <c r="E12" s="133">
        <v>0</v>
      </c>
      <c r="F12" s="134">
        <v>0</v>
      </c>
      <c r="G12" s="135">
        <v>0</v>
      </c>
      <c r="H12" s="136">
        <v>0</v>
      </c>
      <c r="I12" s="134">
        <v>0</v>
      </c>
      <c r="J12" s="135">
        <v>0</v>
      </c>
      <c r="K12" s="137">
        <v>0</v>
      </c>
      <c r="L12" s="138">
        <v>0</v>
      </c>
      <c r="M12" s="354" t="s">
        <v>111</v>
      </c>
      <c r="N12" s="374"/>
    </row>
    <row r="13" spans="2:15" ht="21.95" customHeight="1" thickBot="1" x14ac:dyDescent="0.45">
      <c r="B13" s="478"/>
      <c r="C13" s="379"/>
      <c r="D13" s="380"/>
      <c r="E13" s="181">
        <f>(E7*0.5*3)/100</f>
        <v>23.684999999999999</v>
      </c>
      <c r="F13" s="186">
        <v>1</v>
      </c>
      <c r="G13" s="187">
        <f>(E7*0.5*3)/100</f>
        <v>23.684999999999999</v>
      </c>
      <c r="H13" s="188">
        <f>(E7*0.5*3)/100</f>
        <v>23.684999999999999</v>
      </c>
      <c r="I13" s="186">
        <v>1</v>
      </c>
      <c r="J13" s="187">
        <f>(E7*0.5*3)/100</f>
        <v>23.684999999999999</v>
      </c>
      <c r="K13" s="185">
        <f>(E7*0.5*3)/100</f>
        <v>23.684999999999999</v>
      </c>
      <c r="L13" s="185">
        <f>SUM(E13:K13)</f>
        <v>120.425</v>
      </c>
      <c r="M13" s="355"/>
      <c r="N13" s="374"/>
    </row>
    <row r="14" spans="2:15" ht="21.95" customHeight="1" thickBot="1" x14ac:dyDescent="0.45">
      <c r="B14" s="478"/>
      <c r="C14" s="377" t="s">
        <v>88</v>
      </c>
      <c r="D14" s="378"/>
      <c r="E14" s="116">
        <v>0</v>
      </c>
      <c r="F14" s="117">
        <v>0</v>
      </c>
      <c r="G14" s="118">
        <v>0</v>
      </c>
      <c r="H14" s="119">
        <v>0</v>
      </c>
      <c r="I14" s="117">
        <v>0</v>
      </c>
      <c r="J14" s="118">
        <v>0</v>
      </c>
      <c r="K14" s="120">
        <v>0</v>
      </c>
      <c r="L14" s="121">
        <v>0</v>
      </c>
      <c r="M14" s="354" t="s">
        <v>111</v>
      </c>
      <c r="N14" s="374"/>
    </row>
    <row r="15" spans="2:15" ht="21.95" customHeight="1" thickBot="1" x14ac:dyDescent="0.45">
      <c r="B15" s="478"/>
      <c r="C15" s="379"/>
      <c r="D15" s="380"/>
      <c r="E15" s="181">
        <f>(E7*0.5*3)/20</f>
        <v>118.425</v>
      </c>
      <c r="F15" s="186">
        <f>(F7*0.5*3)/20</f>
        <v>2.4750000000000001</v>
      </c>
      <c r="G15" s="187">
        <f>(G7*0.5*3)/20</f>
        <v>110.47499999999999</v>
      </c>
      <c r="H15" s="188">
        <f>(H7*0.5*3)/20</f>
        <v>60.75</v>
      </c>
      <c r="I15" s="186">
        <v>2</v>
      </c>
      <c r="J15" s="187">
        <f>(J7*0.5*3)/20</f>
        <v>46.8</v>
      </c>
      <c r="K15" s="185">
        <f>(K7*0.5*3)/20</f>
        <v>42.825000000000003</v>
      </c>
      <c r="L15" s="185">
        <f>SUM(E15:K15)</f>
        <v>383.75</v>
      </c>
      <c r="M15" s="355"/>
      <c r="N15" s="374"/>
    </row>
    <row r="16" spans="2:15" ht="21.95" customHeight="1" thickBot="1" x14ac:dyDescent="0.45">
      <c r="B16" s="478"/>
      <c r="C16" s="377" t="s">
        <v>96</v>
      </c>
      <c r="D16" s="378"/>
      <c r="E16" s="228">
        <v>0</v>
      </c>
      <c r="F16" s="229">
        <v>0</v>
      </c>
      <c r="G16" s="230">
        <v>0</v>
      </c>
      <c r="H16" s="231">
        <v>0</v>
      </c>
      <c r="I16" s="229">
        <v>0</v>
      </c>
      <c r="J16" s="230">
        <v>0</v>
      </c>
      <c r="K16" s="232">
        <v>0</v>
      </c>
      <c r="L16" s="232">
        <v>0</v>
      </c>
      <c r="M16" s="354" t="s">
        <v>111</v>
      </c>
      <c r="N16" s="374"/>
    </row>
    <row r="17" spans="2:14" ht="21.95" customHeight="1" x14ac:dyDescent="0.4">
      <c r="B17" s="479"/>
      <c r="C17" s="379"/>
      <c r="D17" s="380"/>
      <c r="E17" s="181">
        <f>(E7*0.5*3)/20</f>
        <v>118.425</v>
      </c>
      <c r="F17" s="186">
        <f>(F7*0.5*3)/20</f>
        <v>2.4750000000000001</v>
      </c>
      <c r="G17" s="187">
        <f>(G7*0.5*3)/20</f>
        <v>110.47499999999999</v>
      </c>
      <c r="H17" s="188">
        <f>(H7*0.5*3)/20</f>
        <v>60.75</v>
      </c>
      <c r="I17" s="186">
        <v>2</v>
      </c>
      <c r="J17" s="187">
        <f>(J7*0.5*3)/20</f>
        <v>46.8</v>
      </c>
      <c r="K17" s="185">
        <f>(K7*0.5*3)/20</f>
        <v>42.825000000000003</v>
      </c>
      <c r="L17" s="185">
        <f>SUM(E17:K17)</f>
        <v>383.75</v>
      </c>
      <c r="M17" s="355"/>
      <c r="N17" s="374"/>
    </row>
    <row r="18" spans="2:14" ht="21.95" customHeight="1" thickBot="1" x14ac:dyDescent="0.45">
      <c r="B18" s="480" t="s">
        <v>128</v>
      </c>
      <c r="C18" s="377" t="s">
        <v>90</v>
      </c>
      <c r="D18" s="378"/>
      <c r="E18" s="228">
        <v>0</v>
      </c>
      <c r="F18" s="229">
        <v>0</v>
      </c>
      <c r="G18" s="230">
        <v>0</v>
      </c>
      <c r="H18" s="231">
        <v>0</v>
      </c>
      <c r="I18" s="229">
        <v>0</v>
      </c>
      <c r="J18" s="230">
        <v>0</v>
      </c>
      <c r="K18" s="232">
        <v>0</v>
      </c>
      <c r="L18" s="232">
        <v>0</v>
      </c>
      <c r="M18" s="354" t="s">
        <v>155</v>
      </c>
      <c r="N18" s="366"/>
    </row>
    <row r="19" spans="2:14" ht="21.95" customHeight="1" thickBot="1" x14ac:dyDescent="0.45">
      <c r="B19" s="478"/>
      <c r="C19" s="379"/>
      <c r="D19" s="380"/>
      <c r="E19" s="181">
        <f>(E7/2)/10</f>
        <v>78.95</v>
      </c>
      <c r="F19" s="182">
        <f>(F7/2)/10</f>
        <v>1.65</v>
      </c>
      <c r="G19" s="181">
        <f>(G7/2)/10</f>
        <v>73.650000000000006</v>
      </c>
      <c r="H19" s="181">
        <f>(H7/2)/10</f>
        <v>40.5</v>
      </c>
      <c r="I19" s="181">
        <v>1</v>
      </c>
      <c r="J19" s="181">
        <f>(J7/2)/10</f>
        <v>31.2</v>
      </c>
      <c r="K19" s="181">
        <f>(K7/2)/10</f>
        <v>28.55</v>
      </c>
      <c r="L19" s="181">
        <f>SUM(E19:K19)</f>
        <v>255.5</v>
      </c>
      <c r="M19" s="355"/>
      <c r="N19" s="366"/>
    </row>
    <row r="20" spans="2:14" ht="21.95" customHeight="1" thickBot="1" x14ac:dyDescent="0.45">
      <c r="B20" s="478"/>
      <c r="C20" s="417" t="s">
        <v>89</v>
      </c>
      <c r="D20" s="418"/>
      <c r="E20" s="233">
        <v>0</v>
      </c>
      <c r="F20" s="134">
        <v>0</v>
      </c>
      <c r="G20" s="135">
        <v>0</v>
      </c>
      <c r="H20" s="136">
        <v>0</v>
      </c>
      <c r="I20" s="134">
        <v>0</v>
      </c>
      <c r="J20" s="135">
        <v>0</v>
      </c>
      <c r="K20" s="137">
        <v>0</v>
      </c>
      <c r="L20" s="138">
        <v>0</v>
      </c>
      <c r="M20" s="354" t="s">
        <v>154</v>
      </c>
      <c r="N20" s="375"/>
    </row>
    <row r="21" spans="2:14" ht="21.95" customHeight="1" thickBot="1" x14ac:dyDescent="0.45">
      <c r="B21" s="478"/>
      <c r="C21" s="419"/>
      <c r="D21" s="420"/>
      <c r="E21" s="316">
        <f>(E7*5*6/10)/10</f>
        <v>473.7</v>
      </c>
      <c r="F21" s="317">
        <f>(F7*5*6/10)/10</f>
        <v>9.9</v>
      </c>
      <c r="G21" s="318">
        <f>(G7*5*6/10)/10</f>
        <v>441.9</v>
      </c>
      <c r="H21" s="319">
        <f>(H7*5*6/10)/10</f>
        <v>243</v>
      </c>
      <c r="I21" s="317">
        <v>8</v>
      </c>
      <c r="J21" s="318">
        <f>(J7*5*6/10)/10</f>
        <v>187.2</v>
      </c>
      <c r="K21" s="320">
        <f>(K7*5*6/10)/10</f>
        <v>171.3</v>
      </c>
      <c r="L21" s="320">
        <f>SUM(E21:K21)</f>
        <v>1535</v>
      </c>
      <c r="M21" s="408"/>
      <c r="N21" s="366"/>
    </row>
    <row r="22" spans="2:14" ht="21.95" customHeight="1" x14ac:dyDescent="0.4">
      <c r="B22" s="329" t="s">
        <v>120</v>
      </c>
      <c r="C22" s="358" t="s">
        <v>47</v>
      </c>
      <c r="D22" s="361" t="s">
        <v>118</v>
      </c>
      <c r="E22" s="133">
        <v>354</v>
      </c>
      <c r="F22" s="134">
        <v>0</v>
      </c>
      <c r="G22" s="135">
        <v>1800</v>
      </c>
      <c r="H22" s="136">
        <v>240</v>
      </c>
      <c r="I22" s="134">
        <v>0</v>
      </c>
      <c r="J22" s="135">
        <v>60</v>
      </c>
      <c r="K22" s="137">
        <v>180</v>
      </c>
      <c r="L22" s="138">
        <f t="shared" ref="L22" si="0">SUM(E22:K22)</f>
        <v>2634</v>
      </c>
      <c r="M22" s="360" t="s">
        <v>115</v>
      </c>
      <c r="N22" s="113"/>
    </row>
    <row r="23" spans="2:14" ht="21.95" customHeight="1" x14ac:dyDescent="0.4">
      <c r="B23" s="329"/>
      <c r="C23" s="359"/>
      <c r="D23" s="362"/>
      <c r="E23" s="122">
        <f>(E7*3)</f>
        <v>4737</v>
      </c>
      <c r="F23" s="124">
        <f t="shared" ref="F23:K23" si="1">(F7*3)</f>
        <v>99</v>
      </c>
      <c r="G23" s="125">
        <f t="shared" si="1"/>
        <v>4419</v>
      </c>
      <c r="H23" s="126">
        <f t="shared" si="1"/>
        <v>2430</v>
      </c>
      <c r="I23" s="124">
        <f>(20*3)</f>
        <v>60</v>
      </c>
      <c r="J23" s="125">
        <f t="shared" si="1"/>
        <v>1872</v>
      </c>
      <c r="K23" s="123">
        <f t="shared" si="1"/>
        <v>1713</v>
      </c>
      <c r="L23" s="132">
        <f t="shared" ref="L23:L95" si="2">SUM(E23:K23)</f>
        <v>15330</v>
      </c>
      <c r="M23" s="355"/>
      <c r="N23" s="113"/>
    </row>
    <row r="24" spans="2:14" ht="21.95" customHeight="1" x14ac:dyDescent="0.4">
      <c r="B24" s="329"/>
      <c r="C24" s="359"/>
      <c r="D24" s="471" t="s">
        <v>5</v>
      </c>
      <c r="E24" s="139">
        <v>100</v>
      </c>
      <c r="F24" s="140">
        <v>0</v>
      </c>
      <c r="G24" s="141">
        <v>1900</v>
      </c>
      <c r="H24" s="142">
        <v>650</v>
      </c>
      <c r="I24" s="140">
        <v>0</v>
      </c>
      <c r="J24" s="141">
        <v>250</v>
      </c>
      <c r="K24" s="143">
        <v>130</v>
      </c>
      <c r="L24" s="144">
        <f t="shared" si="2"/>
        <v>3030</v>
      </c>
      <c r="M24" s="399"/>
      <c r="N24" s="366"/>
    </row>
    <row r="25" spans="2:14" ht="21.95" customHeight="1" x14ac:dyDescent="0.4">
      <c r="B25" s="329"/>
      <c r="C25" s="359"/>
      <c r="D25" s="415"/>
      <c r="E25" s="145">
        <f>E7*2*5</f>
        <v>15790</v>
      </c>
      <c r="F25" s="146">
        <f>F7*2*5</f>
        <v>330</v>
      </c>
      <c r="G25" s="145">
        <f>G7*2*5</f>
        <v>14730</v>
      </c>
      <c r="H25" s="145">
        <f>H7*2*5</f>
        <v>8100</v>
      </c>
      <c r="I25" s="147">
        <f>10*2*5</f>
        <v>100</v>
      </c>
      <c r="J25" s="148">
        <f>J7*2*5</f>
        <v>6240</v>
      </c>
      <c r="K25" s="149">
        <f>K7*2*5</f>
        <v>5710</v>
      </c>
      <c r="L25" s="150">
        <f>SUM(E25:K25)</f>
        <v>51000</v>
      </c>
      <c r="M25" s="399"/>
      <c r="N25" s="366"/>
    </row>
    <row r="26" spans="2:14" ht="21.95" customHeight="1" x14ac:dyDescent="0.4">
      <c r="B26" s="329"/>
      <c r="C26" s="359"/>
      <c r="D26" s="333" t="s">
        <v>30</v>
      </c>
      <c r="E26" s="133">
        <v>0</v>
      </c>
      <c r="F26" s="234">
        <v>0</v>
      </c>
      <c r="G26" s="235">
        <v>0</v>
      </c>
      <c r="H26" s="233">
        <v>0</v>
      </c>
      <c r="I26" s="234">
        <v>0</v>
      </c>
      <c r="J26" s="235">
        <v>0</v>
      </c>
      <c r="K26" s="236">
        <v>0</v>
      </c>
      <c r="L26" s="237">
        <f t="shared" si="2"/>
        <v>0</v>
      </c>
      <c r="M26" s="404"/>
      <c r="N26" s="366"/>
    </row>
    <row r="27" spans="2:14" ht="21.95" customHeight="1" x14ac:dyDescent="0.4">
      <c r="B27" s="329"/>
      <c r="C27" s="359"/>
      <c r="D27" s="334"/>
      <c r="E27" s="145">
        <f>E7</f>
        <v>1579</v>
      </c>
      <c r="F27" s="147">
        <f>F7</f>
        <v>33</v>
      </c>
      <c r="G27" s="148">
        <f>G7</f>
        <v>1473</v>
      </c>
      <c r="H27" s="146">
        <f>H7</f>
        <v>810</v>
      </c>
      <c r="I27" s="147">
        <f>10</f>
        <v>10</v>
      </c>
      <c r="J27" s="148">
        <f>J7</f>
        <v>624</v>
      </c>
      <c r="K27" s="149">
        <f>K7</f>
        <v>571</v>
      </c>
      <c r="L27" s="150">
        <f t="shared" si="2"/>
        <v>5100</v>
      </c>
      <c r="M27" s="405"/>
      <c r="N27" s="366"/>
    </row>
    <row r="28" spans="2:14" ht="21.95" customHeight="1" x14ac:dyDescent="0.4">
      <c r="B28" s="329"/>
      <c r="C28" s="359"/>
      <c r="D28" s="414" t="s">
        <v>6</v>
      </c>
      <c r="E28" s="139">
        <v>0</v>
      </c>
      <c r="F28" s="140">
        <v>0</v>
      </c>
      <c r="G28" s="141">
        <v>0</v>
      </c>
      <c r="H28" s="142">
        <v>0</v>
      </c>
      <c r="I28" s="140">
        <v>0</v>
      </c>
      <c r="J28" s="141">
        <v>0</v>
      </c>
      <c r="K28" s="143">
        <v>0</v>
      </c>
      <c r="L28" s="144">
        <f t="shared" si="2"/>
        <v>0</v>
      </c>
      <c r="M28" s="399"/>
      <c r="N28" s="366"/>
    </row>
    <row r="29" spans="2:14" ht="21.95" customHeight="1" x14ac:dyDescent="0.4">
      <c r="B29" s="329"/>
      <c r="C29" s="359"/>
      <c r="D29" s="415"/>
      <c r="E29" s="145">
        <f>E7</f>
        <v>1579</v>
      </c>
      <c r="F29" s="147">
        <f>F7</f>
        <v>33</v>
      </c>
      <c r="G29" s="148">
        <f>G7</f>
        <v>1473</v>
      </c>
      <c r="H29" s="146">
        <f>H7</f>
        <v>810</v>
      </c>
      <c r="I29" s="147">
        <v>10</v>
      </c>
      <c r="J29" s="148">
        <f>J7</f>
        <v>624</v>
      </c>
      <c r="K29" s="149">
        <f>K7</f>
        <v>571</v>
      </c>
      <c r="L29" s="150">
        <f t="shared" si="2"/>
        <v>5100</v>
      </c>
      <c r="M29" s="399"/>
      <c r="N29" s="366"/>
    </row>
    <row r="30" spans="2:14" ht="21.95" customHeight="1" x14ac:dyDescent="0.4">
      <c r="B30" s="329"/>
      <c r="C30" s="359"/>
      <c r="D30" s="333" t="s">
        <v>101</v>
      </c>
      <c r="E30" s="127"/>
      <c r="F30" s="151"/>
      <c r="G30" s="152"/>
      <c r="H30" s="153"/>
      <c r="I30" s="151"/>
      <c r="J30" s="152"/>
      <c r="K30" s="154"/>
      <c r="L30" s="154"/>
      <c r="M30" s="354" t="s">
        <v>113</v>
      </c>
      <c r="N30" s="366"/>
    </row>
    <row r="31" spans="2:14" ht="21.95" customHeight="1" x14ac:dyDescent="0.4">
      <c r="B31" s="329"/>
      <c r="C31" s="359"/>
      <c r="D31" s="334"/>
      <c r="E31" s="155">
        <f>E7*2</f>
        <v>3158</v>
      </c>
      <c r="F31" s="156">
        <f t="shared" ref="F31:L31" si="3">F7*2</f>
        <v>66</v>
      </c>
      <c r="G31" s="157">
        <f t="shared" si="3"/>
        <v>2946</v>
      </c>
      <c r="H31" s="158">
        <f t="shared" si="3"/>
        <v>1620</v>
      </c>
      <c r="I31" s="156">
        <f>10*2</f>
        <v>20</v>
      </c>
      <c r="J31" s="157">
        <f t="shared" si="3"/>
        <v>1248</v>
      </c>
      <c r="K31" s="159">
        <f t="shared" si="3"/>
        <v>1142</v>
      </c>
      <c r="L31" s="160">
        <f t="shared" si="3"/>
        <v>10180</v>
      </c>
      <c r="M31" s="355"/>
      <c r="N31" s="366"/>
    </row>
    <row r="32" spans="2:14" ht="21.95" customHeight="1" x14ac:dyDescent="0.4">
      <c r="B32" s="329"/>
      <c r="C32" s="359"/>
      <c r="D32" s="414" t="s">
        <v>14</v>
      </c>
      <c r="E32" s="139">
        <v>0</v>
      </c>
      <c r="F32" s="140">
        <v>0</v>
      </c>
      <c r="G32" s="141">
        <v>0</v>
      </c>
      <c r="H32" s="142">
        <v>0</v>
      </c>
      <c r="I32" s="140">
        <v>0</v>
      </c>
      <c r="J32" s="141">
        <v>0</v>
      </c>
      <c r="K32" s="143">
        <v>0</v>
      </c>
      <c r="L32" s="144">
        <f t="shared" si="2"/>
        <v>0</v>
      </c>
      <c r="M32" s="399"/>
      <c r="N32" s="366"/>
    </row>
    <row r="33" spans="2:14" ht="21.95" customHeight="1" x14ac:dyDescent="0.4">
      <c r="B33" s="329"/>
      <c r="C33" s="359"/>
      <c r="D33" s="415"/>
      <c r="E33" s="161">
        <f>E7*5</f>
        <v>7895</v>
      </c>
      <c r="F33" s="162">
        <f>F7*5</f>
        <v>165</v>
      </c>
      <c r="G33" s="163">
        <f>G7*5</f>
        <v>7365</v>
      </c>
      <c r="H33" s="164">
        <f>H7*5</f>
        <v>4050</v>
      </c>
      <c r="I33" s="162">
        <f>10*5</f>
        <v>50</v>
      </c>
      <c r="J33" s="163">
        <f>J7*5</f>
        <v>3120</v>
      </c>
      <c r="K33" s="165">
        <f>K7*5</f>
        <v>2855</v>
      </c>
      <c r="L33" s="166">
        <f t="shared" si="2"/>
        <v>25500</v>
      </c>
      <c r="M33" s="399"/>
      <c r="N33" s="366"/>
    </row>
    <row r="34" spans="2:14" ht="21.95" customHeight="1" x14ac:dyDescent="0.4">
      <c r="B34" s="329"/>
      <c r="C34" s="359"/>
      <c r="D34" s="333" t="s">
        <v>39</v>
      </c>
      <c r="E34" s="167">
        <v>0</v>
      </c>
      <c r="F34" s="168">
        <v>0</v>
      </c>
      <c r="G34" s="169">
        <v>0</v>
      </c>
      <c r="H34" s="170">
        <v>0</v>
      </c>
      <c r="I34" s="168">
        <v>0</v>
      </c>
      <c r="J34" s="169">
        <v>0</v>
      </c>
      <c r="K34" s="171">
        <v>0</v>
      </c>
      <c r="L34" s="172">
        <f t="shared" si="2"/>
        <v>0</v>
      </c>
      <c r="M34" s="405"/>
      <c r="N34" s="366"/>
    </row>
    <row r="35" spans="2:14" ht="21.95" customHeight="1" x14ac:dyDescent="0.4">
      <c r="B35" s="329"/>
      <c r="C35" s="359"/>
      <c r="D35" s="334"/>
      <c r="E35" s="161">
        <f>E7</f>
        <v>1579</v>
      </c>
      <c r="F35" s="162">
        <f>F7</f>
        <v>33</v>
      </c>
      <c r="G35" s="163">
        <f>G7</f>
        <v>1473</v>
      </c>
      <c r="H35" s="164">
        <f>H7</f>
        <v>810</v>
      </c>
      <c r="I35" s="162">
        <f>10</f>
        <v>10</v>
      </c>
      <c r="J35" s="163">
        <f>J7</f>
        <v>624</v>
      </c>
      <c r="K35" s="165">
        <f>K7</f>
        <v>571</v>
      </c>
      <c r="L35" s="166">
        <f t="shared" si="2"/>
        <v>5100</v>
      </c>
      <c r="M35" s="405"/>
      <c r="N35" s="366"/>
    </row>
    <row r="36" spans="2:14" ht="21.95" customHeight="1" x14ac:dyDescent="0.4">
      <c r="B36" s="329"/>
      <c r="C36" s="359"/>
      <c r="D36" s="414" t="s">
        <v>15</v>
      </c>
      <c r="E36" s="139">
        <v>0</v>
      </c>
      <c r="F36" s="140">
        <v>0</v>
      </c>
      <c r="G36" s="141">
        <v>0</v>
      </c>
      <c r="H36" s="142">
        <v>0</v>
      </c>
      <c r="I36" s="140">
        <v>0</v>
      </c>
      <c r="J36" s="141">
        <v>0</v>
      </c>
      <c r="K36" s="143">
        <v>0</v>
      </c>
      <c r="L36" s="144">
        <f t="shared" si="2"/>
        <v>0</v>
      </c>
      <c r="M36" s="399"/>
      <c r="N36" s="366"/>
    </row>
    <row r="37" spans="2:14" ht="21.95" customHeight="1" x14ac:dyDescent="0.4">
      <c r="B37" s="329"/>
      <c r="C37" s="359"/>
      <c r="D37" s="415"/>
      <c r="E37" s="145">
        <f>E7*3</f>
        <v>4737</v>
      </c>
      <c r="F37" s="147">
        <f>F7*3</f>
        <v>99</v>
      </c>
      <c r="G37" s="148">
        <f>G7*3</f>
        <v>4419</v>
      </c>
      <c r="H37" s="146">
        <f>H7*3</f>
        <v>2430</v>
      </c>
      <c r="I37" s="147">
        <f>10*3</f>
        <v>30</v>
      </c>
      <c r="J37" s="148">
        <f>J7*3</f>
        <v>1872</v>
      </c>
      <c r="K37" s="149">
        <f>K7*3</f>
        <v>1713</v>
      </c>
      <c r="L37" s="150">
        <f t="shared" si="2"/>
        <v>15300</v>
      </c>
      <c r="M37" s="399"/>
      <c r="N37" s="366"/>
    </row>
    <row r="38" spans="2:14" ht="21.95" customHeight="1" x14ac:dyDescent="0.4">
      <c r="B38" s="329"/>
      <c r="C38" s="356" t="s">
        <v>8</v>
      </c>
      <c r="D38" s="363" t="s">
        <v>5</v>
      </c>
      <c r="E38" s="42">
        <v>0</v>
      </c>
      <c r="F38" s="43">
        <v>0</v>
      </c>
      <c r="G38" s="44">
        <v>0</v>
      </c>
      <c r="H38" s="45">
        <v>0</v>
      </c>
      <c r="I38" s="43">
        <v>0</v>
      </c>
      <c r="J38" s="44">
        <v>0</v>
      </c>
      <c r="K38" s="46">
        <v>0</v>
      </c>
      <c r="L38" s="46">
        <f t="shared" si="2"/>
        <v>0</v>
      </c>
      <c r="M38" s="370" t="s">
        <v>112</v>
      </c>
      <c r="N38" s="352"/>
    </row>
    <row r="39" spans="2:14" ht="21.95" customHeight="1" x14ac:dyDescent="0.4">
      <c r="B39" s="329"/>
      <c r="C39" s="357"/>
      <c r="D39" s="324"/>
      <c r="E39" s="19">
        <f>ROUNDUP(E7*0.05*2*5,0)</f>
        <v>790</v>
      </c>
      <c r="F39" s="47">
        <f>ROUNDUP(F7*0.05*2*5,0)</f>
        <v>17</v>
      </c>
      <c r="G39" s="48">
        <f>ROUNDUP(G7*0.05*2*5,0)</f>
        <v>737</v>
      </c>
      <c r="H39" s="49">
        <f>ROUNDUP(H7*0.05*2*5,0)</f>
        <v>405</v>
      </c>
      <c r="I39" s="47">
        <f>ROUNDUP(10*0.05*2*5,0)</f>
        <v>5</v>
      </c>
      <c r="J39" s="48">
        <f>ROUNDUP(J7*0.05*2*5,0)</f>
        <v>312</v>
      </c>
      <c r="K39" s="50">
        <f>ROUNDUP(K7*0.05*2*5,0)</f>
        <v>286</v>
      </c>
      <c r="L39" s="50">
        <f t="shared" si="2"/>
        <v>2552</v>
      </c>
      <c r="M39" s="376"/>
      <c r="N39" s="352"/>
    </row>
    <row r="40" spans="2:14" ht="21.95" customHeight="1" x14ac:dyDescent="0.4">
      <c r="B40" s="329"/>
      <c r="C40" s="357"/>
      <c r="D40" s="323" t="s">
        <v>7</v>
      </c>
      <c r="E40" s="42">
        <v>0</v>
      </c>
      <c r="F40" s="43">
        <v>0</v>
      </c>
      <c r="G40" s="44">
        <v>0</v>
      </c>
      <c r="H40" s="45">
        <v>0</v>
      </c>
      <c r="I40" s="43">
        <v>0</v>
      </c>
      <c r="J40" s="44">
        <v>0</v>
      </c>
      <c r="K40" s="46">
        <v>0</v>
      </c>
      <c r="L40" s="46">
        <f t="shared" si="2"/>
        <v>0</v>
      </c>
      <c r="M40" s="376" t="s">
        <v>111</v>
      </c>
      <c r="N40" s="352"/>
    </row>
    <row r="41" spans="2:14" ht="21.95" customHeight="1" x14ac:dyDescent="0.4">
      <c r="B41" s="329"/>
      <c r="C41" s="357"/>
      <c r="D41" s="324"/>
      <c r="E41" s="19">
        <f>ROUNDUP(E7*0.05*2,0)</f>
        <v>158</v>
      </c>
      <c r="F41" s="47">
        <f>ROUNDUP(F7*0.05*2,0)</f>
        <v>4</v>
      </c>
      <c r="G41" s="48">
        <f>ROUNDUP(G7*0.05*2,0)</f>
        <v>148</v>
      </c>
      <c r="H41" s="49">
        <f>ROUNDUP(H7*0.05*2,0)</f>
        <v>81</v>
      </c>
      <c r="I41" s="49">
        <f>ROUNDUP(20*0.05*2,0)</f>
        <v>2</v>
      </c>
      <c r="J41" s="48">
        <f>ROUNDUP(J7*0.05*2,0)</f>
        <v>63</v>
      </c>
      <c r="K41" s="50">
        <f>ROUNDUP(K7*0.05*2,0)</f>
        <v>58</v>
      </c>
      <c r="L41" s="50">
        <f t="shared" si="2"/>
        <v>514</v>
      </c>
      <c r="M41" s="376"/>
      <c r="N41" s="352"/>
    </row>
    <row r="42" spans="2:14" ht="21.95" customHeight="1" x14ac:dyDescent="0.4">
      <c r="B42" s="329"/>
      <c r="C42" s="357"/>
      <c r="D42" s="323" t="s">
        <v>6</v>
      </c>
      <c r="E42" s="20">
        <v>0</v>
      </c>
      <c r="F42" s="21">
        <v>0</v>
      </c>
      <c r="G42" s="22">
        <v>0</v>
      </c>
      <c r="H42" s="23">
        <v>0</v>
      </c>
      <c r="I42" s="21">
        <v>0</v>
      </c>
      <c r="J42" s="22">
        <v>0</v>
      </c>
      <c r="K42" s="24">
        <v>0</v>
      </c>
      <c r="L42" s="24">
        <f t="shared" si="2"/>
        <v>0</v>
      </c>
      <c r="M42" s="376" t="s">
        <v>110</v>
      </c>
      <c r="N42" s="352"/>
    </row>
    <row r="43" spans="2:14" ht="21.95" customHeight="1" x14ac:dyDescent="0.4">
      <c r="B43" s="329"/>
      <c r="C43" s="357"/>
      <c r="D43" s="324"/>
      <c r="E43" s="19">
        <f>ROUNDUP(E7*0.05*1,0)</f>
        <v>79</v>
      </c>
      <c r="F43" s="47">
        <f>ROUNDUP(F7*0.05*1,0)</f>
        <v>2</v>
      </c>
      <c r="G43" s="48">
        <f>ROUNDUP(G7*0.05*1,0)</f>
        <v>74</v>
      </c>
      <c r="H43" s="49">
        <f>ROUNDUP(H7*0.05*1,0)</f>
        <v>41</v>
      </c>
      <c r="I43" s="49">
        <f>ROUNDUP(20*0.05*2,0)</f>
        <v>2</v>
      </c>
      <c r="J43" s="48">
        <f>ROUNDUP(J7*0.05*1,0)</f>
        <v>32</v>
      </c>
      <c r="K43" s="50">
        <f>ROUNDUP(K7*0.05*1,0)</f>
        <v>29</v>
      </c>
      <c r="L43" s="50">
        <f t="shared" si="2"/>
        <v>259</v>
      </c>
      <c r="M43" s="376"/>
      <c r="N43" s="352"/>
    </row>
    <row r="44" spans="2:14" ht="21.95" customHeight="1" x14ac:dyDescent="0.4">
      <c r="B44" s="329"/>
      <c r="C44" s="357"/>
      <c r="D44" s="323" t="s">
        <v>14</v>
      </c>
      <c r="E44" s="20">
        <v>0</v>
      </c>
      <c r="F44" s="21">
        <v>0</v>
      </c>
      <c r="G44" s="22">
        <v>0</v>
      </c>
      <c r="H44" s="23">
        <v>0</v>
      </c>
      <c r="I44" s="21">
        <v>0</v>
      </c>
      <c r="J44" s="22">
        <v>0</v>
      </c>
      <c r="K44" s="24">
        <v>0</v>
      </c>
      <c r="L44" s="24">
        <f t="shared" si="2"/>
        <v>0</v>
      </c>
      <c r="M44" s="376" t="s">
        <v>110</v>
      </c>
      <c r="N44" s="352"/>
    </row>
    <row r="45" spans="2:14" ht="21.95" customHeight="1" x14ac:dyDescent="0.4">
      <c r="B45" s="329"/>
      <c r="C45" s="357"/>
      <c r="D45" s="324"/>
      <c r="E45" s="19">
        <f>ROUNDUP(E7*0.05*5,0)</f>
        <v>395</v>
      </c>
      <c r="F45" s="47">
        <f>ROUNDUP(F7*0.05*5,0)</f>
        <v>9</v>
      </c>
      <c r="G45" s="48">
        <f>ROUNDUP(G7*0.05*5,0)</f>
        <v>369</v>
      </c>
      <c r="H45" s="49">
        <f>ROUNDUP(H7*0.05*5,0)</f>
        <v>203</v>
      </c>
      <c r="I45" s="49">
        <f>ROUNDUP(20*0.05*2,0)</f>
        <v>2</v>
      </c>
      <c r="J45" s="48">
        <f>ROUNDUP(J7*0.05*5,0)</f>
        <v>156</v>
      </c>
      <c r="K45" s="50">
        <f>ROUNDUP(K7*0.05*5,0)</f>
        <v>143</v>
      </c>
      <c r="L45" s="50">
        <f t="shared" si="2"/>
        <v>1277</v>
      </c>
      <c r="M45" s="376"/>
      <c r="N45" s="352"/>
    </row>
    <row r="46" spans="2:14" ht="21.95" customHeight="1" x14ac:dyDescent="0.4">
      <c r="B46" s="329"/>
      <c r="C46" s="357"/>
      <c r="D46" s="323" t="s">
        <v>15</v>
      </c>
      <c r="E46" s="20">
        <v>0</v>
      </c>
      <c r="F46" s="21">
        <v>0</v>
      </c>
      <c r="G46" s="22">
        <v>0</v>
      </c>
      <c r="H46" s="23">
        <v>0</v>
      </c>
      <c r="I46" s="21">
        <v>0</v>
      </c>
      <c r="J46" s="22">
        <v>0</v>
      </c>
      <c r="K46" s="24">
        <v>0</v>
      </c>
      <c r="L46" s="24">
        <f t="shared" si="2"/>
        <v>0</v>
      </c>
      <c r="M46" s="376" t="s">
        <v>110</v>
      </c>
      <c r="N46" s="352"/>
    </row>
    <row r="47" spans="2:14" ht="21.95" customHeight="1" x14ac:dyDescent="0.4">
      <c r="B47" s="329"/>
      <c r="C47" s="357"/>
      <c r="D47" s="324"/>
      <c r="E47" s="19">
        <f>ROUNDUP(E7*0.05*1,0)</f>
        <v>79</v>
      </c>
      <c r="F47" s="47">
        <f>ROUNDUP(F7*0.05*1,0)</f>
        <v>2</v>
      </c>
      <c r="G47" s="48">
        <f>ROUNDUP(G7*0.05*1,0)</f>
        <v>74</v>
      </c>
      <c r="H47" s="49">
        <f>ROUNDUP(H7*0.05*1,0)</f>
        <v>41</v>
      </c>
      <c r="I47" s="315">
        <f>ROUNDUP(20*0.05*2,0)</f>
        <v>2</v>
      </c>
      <c r="J47" s="48">
        <f>ROUNDUP(J7*0.05*1,0)</f>
        <v>32</v>
      </c>
      <c r="K47" s="50">
        <f>ROUNDUP(K7*0.05*1,0)</f>
        <v>29</v>
      </c>
      <c r="L47" s="50">
        <f t="shared" si="2"/>
        <v>259</v>
      </c>
      <c r="M47" s="376"/>
      <c r="N47" s="352"/>
    </row>
    <row r="48" spans="2:14" ht="21.95" customHeight="1" x14ac:dyDescent="0.4">
      <c r="B48" s="329"/>
      <c r="C48" s="356" t="s">
        <v>117</v>
      </c>
      <c r="D48" s="310" t="s">
        <v>49</v>
      </c>
      <c r="E48" s="246">
        <v>0</v>
      </c>
      <c r="F48" s="247">
        <v>0</v>
      </c>
      <c r="G48" s="248">
        <v>0</v>
      </c>
      <c r="H48" s="249">
        <v>0</v>
      </c>
      <c r="I48" s="247">
        <v>0</v>
      </c>
      <c r="J48" s="248">
        <v>0</v>
      </c>
      <c r="K48" s="250">
        <v>0</v>
      </c>
      <c r="L48" s="250">
        <f>SUM(E48:K48)</f>
        <v>0</v>
      </c>
      <c r="M48" s="370" t="s">
        <v>132</v>
      </c>
      <c r="N48" s="112"/>
    </row>
    <row r="49" spans="2:14" ht="21.95" customHeight="1" x14ac:dyDescent="0.4">
      <c r="B49" s="329"/>
      <c r="C49" s="357"/>
      <c r="D49" s="238" t="s">
        <v>92</v>
      </c>
      <c r="E49" s="145">
        <f>9*0.312*8*6/24</f>
        <v>5.6159999999999997</v>
      </c>
      <c r="F49" s="147">
        <v>0</v>
      </c>
      <c r="G49" s="148">
        <f>9*0.291*8*6/24</f>
        <v>5.2379999999999995</v>
      </c>
      <c r="H49" s="146">
        <f>9*0.16*8*6/24</f>
        <v>2.8800000000000003</v>
      </c>
      <c r="I49" s="147">
        <v>0</v>
      </c>
      <c r="J49" s="148">
        <f>9*0.123*8*6/24</f>
        <v>2.214</v>
      </c>
      <c r="K49" s="149">
        <f>9*0.112*8*6/24</f>
        <v>2.016</v>
      </c>
      <c r="L49" s="149">
        <f>SUM(E49:K49)</f>
        <v>17.963999999999999</v>
      </c>
      <c r="M49" s="371"/>
      <c r="N49" s="112"/>
    </row>
    <row r="50" spans="2:14" ht="21.95" customHeight="1" x14ac:dyDescent="0.4">
      <c r="B50" s="329"/>
      <c r="C50" s="357"/>
      <c r="D50" s="239" t="s">
        <v>49</v>
      </c>
      <c r="E50" s="246">
        <v>0</v>
      </c>
      <c r="F50" s="247">
        <v>0</v>
      </c>
      <c r="G50" s="248">
        <v>0</v>
      </c>
      <c r="H50" s="249">
        <v>0</v>
      </c>
      <c r="I50" s="247">
        <v>0</v>
      </c>
      <c r="J50" s="248">
        <v>0</v>
      </c>
      <c r="K50" s="250">
        <v>0</v>
      </c>
      <c r="L50" s="250">
        <f t="shared" ref="L50" si="4">SUM(E50:K50)</f>
        <v>0</v>
      </c>
      <c r="M50" s="376" t="s">
        <v>133</v>
      </c>
      <c r="N50" s="112"/>
    </row>
    <row r="51" spans="2:14" ht="21.95" customHeight="1" x14ac:dyDescent="0.4">
      <c r="B51" s="329"/>
      <c r="C51" s="357"/>
      <c r="D51" s="311" t="s">
        <v>93</v>
      </c>
      <c r="E51" s="146">
        <f>18*0.312*6*6/24</f>
        <v>8.4239999999999995</v>
      </c>
      <c r="F51" s="147">
        <v>0</v>
      </c>
      <c r="G51" s="148">
        <f>18*0.291*6*6/24</f>
        <v>7.8569999999999993</v>
      </c>
      <c r="H51" s="146">
        <f>18*0.16*6*6/24</f>
        <v>4.32</v>
      </c>
      <c r="I51" s="147">
        <v>0</v>
      </c>
      <c r="J51" s="148">
        <f>18*0.123*6*6/24</f>
        <v>3.3209999999999997</v>
      </c>
      <c r="K51" s="149">
        <f>18*0.112*6*6/24</f>
        <v>3.0239999999999996</v>
      </c>
      <c r="L51" s="149">
        <f t="shared" ref="L51:L57" si="5">SUM(E51:K51)</f>
        <v>26.945999999999998</v>
      </c>
      <c r="M51" s="371"/>
      <c r="N51" s="112"/>
    </row>
    <row r="52" spans="2:14" ht="21.95" customHeight="1" x14ac:dyDescent="0.4">
      <c r="B52" s="329"/>
      <c r="C52" s="357"/>
      <c r="D52" s="424" t="s">
        <v>94</v>
      </c>
      <c r="E52" s="246">
        <v>0</v>
      </c>
      <c r="F52" s="247">
        <v>0</v>
      </c>
      <c r="G52" s="248">
        <v>0</v>
      </c>
      <c r="H52" s="249">
        <v>0</v>
      </c>
      <c r="I52" s="247">
        <v>0</v>
      </c>
      <c r="J52" s="248">
        <v>0</v>
      </c>
      <c r="K52" s="250">
        <v>0</v>
      </c>
      <c r="L52" s="250">
        <f t="shared" si="5"/>
        <v>0</v>
      </c>
      <c r="M52" s="371" t="s">
        <v>134</v>
      </c>
      <c r="N52" s="112"/>
    </row>
    <row r="53" spans="2:14" ht="21.95" customHeight="1" x14ac:dyDescent="0.4">
      <c r="B53" s="329"/>
      <c r="C53" s="357"/>
      <c r="D53" s="425"/>
      <c r="E53" s="145">
        <f>27*0.312*4*6/24</f>
        <v>8.4239999999999995</v>
      </c>
      <c r="F53" s="147">
        <v>0</v>
      </c>
      <c r="G53" s="148">
        <f>27*0.291*4*6/24</f>
        <v>7.8569999999999993</v>
      </c>
      <c r="H53" s="146">
        <f>27*0.16*4*6/24</f>
        <v>4.32</v>
      </c>
      <c r="I53" s="147">
        <v>0</v>
      </c>
      <c r="J53" s="148">
        <f>27*0.123*4*6/24</f>
        <v>3.3209999999999997</v>
      </c>
      <c r="K53" s="149">
        <f>27*0.112*4*6/24</f>
        <v>3.0239999999999996</v>
      </c>
      <c r="L53" s="149">
        <f t="shared" si="5"/>
        <v>26.945999999999998</v>
      </c>
      <c r="M53" s="371"/>
      <c r="N53" s="112"/>
    </row>
    <row r="54" spans="2:14" ht="21.95" customHeight="1" x14ac:dyDescent="0.4">
      <c r="B54" s="329"/>
      <c r="C54" s="357"/>
      <c r="D54" s="323" t="s">
        <v>12</v>
      </c>
      <c r="E54" s="38">
        <v>0</v>
      </c>
      <c r="F54" s="39">
        <v>0</v>
      </c>
      <c r="G54" s="40">
        <v>0</v>
      </c>
      <c r="H54" s="41">
        <v>0</v>
      </c>
      <c r="I54" s="39">
        <v>0</v>
      </c>
      <c r="J54" s="40">
        <v>0</v>
      </c>
      <c r="K54" s="61">
        <v>0</v>
      </c>
      <c r="L54" s="61">
        <f t="shared" si="5"/>
        <v>0</v>
      </c>
      <c r="M54" s="371" t="s">
        <v>135</v>
      </c>
      <c r="N54" s="112"/>
    </row>
    <row r="55" spans="2:14" ht="21.95" customHeight="1" x14ac:dyDescent="0.4">
      <c r="B55" s="329"/>
      <c r="C55" s="357"/>
      <c r="D55" s="324"/>
      <c r="E55" s="25">
        <f>ROUNDUP(70*E8*3*6,0)</f>
        <v>391</v>
      </c>
      <c r="F55" s="26">
        <v>0</v>
      </c>
      <c r="G55" s="27">
        <f>ROUNDUP(70*G8*3*6,0)</f>
        <v>365</v>
      </c>
      <c r="H55" s="28">
        <f>ROUNDUP(70*H8*3*6,0)</f>
        <v>201</v>
      </c>
      <c r="I55" s="26">
        <v>0</v>
      </c>
      <c r="J55" s="27">
        <f>ROUNDUP(70*J8*3*6,0)</f>
        <v>155</v>
      </c>
      <c r="K55" s="29">
        <f>ROUNDUP(70*K8*3*6,0)</f>
        <v>142</v>
      </c>
      <c r="L55" s="29">
        <f t="shared" si="5"/>
        <v>1254</v>
      </c>
      <c r="M55" s="371"/>
      <c r="N55" s="112"/>
    </row>
    <row r="56" spans="2:14" ht="21.95" customHeight="1" x14ac:dyDescent="0.4">
      <c r="B56" s="329"/>
      <c r="C56" s="357"/>
      <c r="D56" s="323" t="s">
        <v>16</v>
      </c>
      <c r="E56" s="38">
        <v>0</v>
      </c>
      <c r="F56" s="39">
        <v>0</v>
      </c>
      <c r="G56" s="40">
        <v>0</v>
      </c>
      <c r="H56" s="41">
        <v>0</v>
      </c>
      <c r="I56" s="39">
        <v>0</v>
      </c>
      <c r="J56" s="40">
        <v>0</v>
      </c>
      <c r="K56" s="61">
        <v>0</v>
      </c>
      <c r="L56" s="61">
        <f t="shared" si="5"/>
        <v>0</v>
      </c>
      <c r="M56" s="371" t="s">
        <v>135</v>
      </c>
      <c r="N56" s="112"/>
    </row>
    <row r="57" spans="2:14" ht="21.95" customHeight="1" x14ac:dyDescent="0.4">
      <c r="B57" s="329"/>
      <c r="C57" s="357"/>
      <c r="D57" s="324"/>
      <c r="E57" s="25">
        <f>ROUNDUP(70*E8*3*6,0)</f>
        <v>391</v>
      </c>
      <c r="F57" s="26">
        <v>0</v>
      </c>
      <c r="G57" s="27">
        <f>ROUNDUP(70*G8*3*6,0)</f>
        <v>365</v>
      </c>
      <c r="H57" s="28">
        <f>ROUNDUP(70*H8*3*6,0)</f>
        <v>201</v>
      </c>
      <c r="I57" s="26">
        <v>0</v>
      </c>
      <c r="J57" s="27">
        <f>ROUNDUP(70*J8*3*6,0)</f>
        <v>155</v>
      </c>
      <c r="K57" s="29">
        <f>ROUNDUP(70*K8*3*6,0)</f>
        <v>142</v>
      </c>
      <c r="L57" s="29">
        <f t="shared" si="5"/>
        <v>1254</v>
      </c>
      <c r="M57" s="371"/>
      <c r="N57" s="112"/>
    </row>
    <row r="58" spans="2:14" ht="21.95" customHeight="1" x14ac:dyDescent="0.4">
      <c r="B58" s="329"/>
      <c r="C58" s="356" t="s">
        <v>121</v>
      </c>
      <c r="D58" s="363" t="s">
        <v>27</v>
      </c>
      <c r="E58" s="42">
        <v>4</v>
      </c>
      <c r="F58" s="43">
        <v>0</v>
      </c>
      <c r="G58" s="44">
        <v>48</v>
      </c>
      <c r="H58" s="45">
        <v>5</v>
      </c>
      <c r="I58" s="43">
        <v>0</v>
      </c>
      <c r="J58" s="302">
        <v>5</v>
      </c>
      <c r="K58" s="44">
        <v>4</v>
      </c>
      <c r="L58" s="46">
        <f t="shared" ref="L58:L67" si="6">SUM(E58:K58)</f>
        <v>66</v>
      </c>
      <c r="M58" s="364" t="s">
        <v>107</v>
      </c>
      <c r="N58" s="112"/>
    </row>
    <row r="59" spans="2:14" ht="21.95" customHeight="1" x14ac:dyDescent="0.4">
      <c r="B59" s="329"/>
      <c r="C59" s="357"/>
      <c r="D59" s="324"/>
      <c r="E59" s="19">
        <f>ROUNDUP(E7/50,0)</f>
        <v>32</v>
      </c>
      <c r="F59" s="47">
        <f>ROUNDUP(F7/50,0)</f>
        <v>1</v>
      </c>
      <c r="G59" s="48">
        <f>ROUNDUP(G7/50,0)</f>
        <v>30</v>
      </c>
      <c r="H59" s="19">
        <f>ROUNDUP(H7/50,0)</f>
        <v>17</v>
      </c>
      <c r="I59" s="79">
        <f>ROUNDUP(20/50,0)</f>
        <v>1</v>
      </c>
      <c r="J59" s="301">
        <f>ROUNDUP(J7/50,0)</f>
        <v>13</v>
      </c>
      <c r="K59" s="48">
        <f>ROUNDUP(K7/50,0)</f>
        <v>12</v>
      </c>
      <c r="L59" s="50">
        <f t="shared" si="6"/>
        <v>106</v>
      </c>
      <c r="M59" s="365"/>
      <c r="N59" s="112"/>
    </row>
    <row r="60" spans="2:14" ht="21.95" customHeight="1" x14ac:dyDescent="0.4">
      <c r="B60" s="329"/>
      <c r="C60" s="357"/>
      <c r="D60" s="323" t="s">
        <v>28</v>
      </c>
      <c r="E60" s="42">
        <v>12</v>
      </c>
      <c r="F60" s="43">
        <v>0</v>
      </c>
      <c r="G60" s="44">
        <v>336</v>
      </c>
      <c r="H60" s="45">
        <v>9</v>
      </c>
      <c r="I60" s="43">
        <v>0</v>
      </c>
      <c r="J60" s="302">
        <v>0</v>
      </c>
      <c r="K60" s="44">
        <v>9</v>
      </c>
      <c r="L60" s="46">
        <f t="shared" si="6"/>
        <v>366</v>
      </c>
      <c r="M60" s="365" t="s">
        <v>108</v>
      </c>
      <c r="N60" s="112"/>
    </row>
    <row r="61" spans="2:14" ht="21.95" customHeight="1" x14ac:dyDescent="0.4">
      <c r="B61" s="329"/>
      <c r="C61" s="357"/>
      <c r="D61" s="324"/>
      <c r="E61" s="19">
        <f>E59*8</f>
        <v>256</v>
      </c>
      <c r="F61" s="47">
        <f t="shared" ref="F61:K61" si="7">F59*8</f>
        <v>8</v>
      </c>
      <c r="G61" s="48">
        <f t="shared" si="7"/>
        <v>240</v>
      </c>
      <c r="H61" s="49">
        <f t="shared" si="7"/>
        <v>136</v>
      </c>
      <c r="I61" s="47">
        <f t="shared" si="7"/>
        <v>8</v>
      </c>
      <c r="J61" s="301">
        <f t="shared" si="7"/>
        <v>104</v>
      </c>
      <c r="K61" s="48">
        <f t="shared" si="7"/>
        <v>96</v>
      </c>
      <c r="L61" s="50">
        <f t="shared" si="6"/>
        <v>848</v>
      </c>
      <c r="M61" s="365"/>
      <c r="N61" s="112"/>
    </row>
    <row r="62" spans="2:14" ht="21.95" customHeight="1" x14ac:dyDescent="0.4">
      <c r="B62" s="329"/>
      <c r="C62" s="357"/>
      <c r="D62" s="323" t="s">
        <v>29</v>
      </c>
      <c r="E62" s="56">
        <v>0</v>
      </c>
      <c r="F62" s="57">
        <v>0</v>
      </c>
      <c r="G62" s="58">
        <v>0</v>
      </c>
      <c r="H62" s="59">
        <v>0</v>
      </c>
      <c r="I62" s="57">
        <v>0</v>
      </c>
      <c r="J62" s="303">
        <v>0</v>
      </c>
      <c r="K62" s="58">
        <v>0</v>
      </c>
      <c r="L62" s="60">
        <f t="shared" si="6"/>
        <v>0</v>
      </c>
      <c r="M62" s="365" t="s">
        <v>109</v>
      </c>
      <c r="N62" s="112"/>
    </row>
    <row r="63" spans="2:14" ht="21.95" customHeight="1" x14ac:dyDescent="0.4">
      <c r="B63" s="329"/>
      <c r="C63" s="357"/>
      <c r="D63" s="363"/>
      <c r="E63" s="128">
        <f>E59</f>
        <v>32</v>
      </c>
      <c r="F63" s="129">
        <f t="shared" ref="F63:K63" si="8">F59</f>
        <v>1</v>
      </c>
      <c r="G63" s="130">
        <f t="shared" si="8"/>
        <v>30</v>
      </c>
      <c r="H63" s="131">
        <f t="shared" si="8"/>
        <v>17</v>
      </c>
      <c r="I63" s="129">
        <f t="shared" si="8"/>
        <v>1</v>
      </c>
      <c r="J63" s="304">
        <f t="shared" si="8"/>
        <v>13</v>
      </c>
      <c r="K63" s="130">
        <f t="shared" si="8"/>
        <v>12</v>
      </c>
      <c r="L63" s="314">
        <f t="shared" si="6"/>
        <v>106</v>
      </c>
      <c r="M63" s="369"/>
      <c r="N63" s="112"/>
    </row>
    <row r="64" spans="2:14" ht="21.95" customHeight="1" x14ac:dyDescent="0.4">
      <c r="B64" s="329"/>
      <c r="C64" s="357"/>
      <c r="D64" s="416" t="s">
        <v>62</v>
      </c>
      <c r="E64" s="20">
        <v>0</v>
      </c>
      <c r="F64" s="21">
        <v>0</v>
      </c>
      <c r="G64" s="22">
        <v>0</v>
      </c>
      <c r="H64" s="23">
        <v>0</v>
      </c>
      <c r="I64" s="21">
        <v>0</v>
      </c>
      <c r="J64" s="298">
        <v>0</v>
      </c>
      <c r="K64" s="22">
        <v>0</v>
      </c>
      <c r="L64" s="24">
        <f t="shared" ref="L64:L65" si="9">SUM(E64:K64)</f>
        <v>0</v>
      </c>
      <c r="M64" s="389"/>
      <c r="N64" s="114"/>
    </row>
    <row r="65" spans="2:19" ht="21.95" customHeight="1" x14ac:dyDescent="0.4">
      <c r="B65" s="329"/>
      <c r="C65" s="357"/>
      <c r="D65" s="324"/>
      <c r="E65" s="25">
        <v>4</v>
      </c>
      <c r="F65" s="26">
        <v>0</v>
      </c>
      <c r="G65" s="27">
        <v>0</v>
      </c>
      <c r="H65" s="28">
        <v>4</v>
      </c>
      <c r="I65" s="26">
        <v>0</v>
      </c>
      <c r="J65" s="305">
        <v>0</v>
      </c>
      <c r="K65" s="27">
        <v>4</v>
      </c>
      <c r="L65" s="29">
        <f t="shared" si="9"/>
        <v>12</v>
      </c>
      <c r="M65" s="383"/>
      <c r="N65" s="114"/>
    </row>
    <row r="66" spans="2:19" ht="21.95" customHeight="1" x14ac:dyDescent="0.4">
      <c r="B66" s="329"/>
      <c r="C66" s="357"/>
      <c r="D66" s="456" t="s">
        <v>137</v>
      </c>
      <c r="E66" s="42">
        <v>0</v>
      </c>
      <c r="F66" s="43">
        <v>0</v>
      </c>
      <c r="G66" s="44">
        <v>16000</v>
      </c>
      <c r="H66" s="45">
        <v>0</v>
      </c>
      <c r="I66" s="43">
        <v>0</v>
      </c>
      <c r="J66" s="302">
        <v>0</v>
      </c>
      <c r="K66" s="44">
        <v>0</v>
      </c>
      <c r="L66" s="46">
        <f t="shared" si="6"/>
        <v>16000</v>
      </c>
      <c r="M66" s="190"/>
      <c r="N66" s="112"/>
    </row>
    <row r="67" spans="2:19" ht="21.95" customHeight="1" thickBot="1" x14ac:dyDescent="0.45">
      <c r="B67" s="330"/>
      <c r="C67" s="458"/>
      <c r="D67" s="457"/>
      <c r="E67" s="30">
        <f>G66*E8-30</f>
        <v>4933.4577603143425</v>
      </c>
      <c r="F67" s="300">
        <f>G66*F8</f>
        <v>103.7328094302554</v>
      </c>
      <c r="G67" s="30">
        <f>G66*G8-25</f>
        <v>4605.2554027504912</v>
      </c>
      <c r="H67" s="30">
        <f>G66*H8-15</f>
        <v>2531.1689587426326</v>
      </c>
      <c r="I67" s="300">
        <v>80</v>
      </c>
      <c r="J67" s="299">
        <f>L66*J8-10</f>
        <v>1951.4931237721021</v>
      </c>
      <c r="K67" s="31">
        <f>G66*K8</f>
        <v>1794.8919449901769</v>
      </c>
      <c r="L67" s="32">
        <f t="shared" si="6"/>
        <v>16000.000000000004</v>
      </c>
      <c r="M67" s="189"/>
      <c r="N67" s="112"/>
    </row>
    <row r="68" spans="2:19" ht="21.95" customHeight="1" x14ac:dyDescent="0.4">
      <c r="B68" s="451" t="s">
        <v>122</v>
      </c>
      <c r="C68" s="454" t="s">
        <v>136</v>
      </c>
      <c r="D68" s="422" t="s">
        <v>17</v>
      </c>
      <c r="E68" s="42">
        <v>98</v>
      </c>
      <c r="F68" s="43">
        <v>0</v>
      </c>
      <c r="G68" s="44">
        <v>595</v>
      </c>
      <c r="H68" s="45">
        <v>112</v>
      </c>
      <c r="I68" s="43">
        <v>0</v>
      </c>
      <c r="J68" s="44">
        <v>98</v>
      </c>
      <c r="K68" s="46">
        <v>77</v>
      </c>
      <c r="L68" s="77">
        <f t="shared" si="2"/>
        <v>980</v>
      </c>
      <c r="M68" s="370" t="s">
        <v>116</v>
      </c>
      <c r="N68" s="352"/>
      <c r="O68" s="406"/>
      <c r="P68" s="407"/>
      <c r="Q68" s="407"/>
      <c r="R68" s="407"/>
      <c r="S68" s="407"/>
    </row>
    <row r="69" spans="2:19" ht="21.95" customHeight="1" x14ac:dyDescent="0.4">
      <c r="B69" s="452"/>
      <c r="C69" s="455"/>
      <c r="D69" s="413"/>
      <c r="E69" s="33">
        <v>88</v>
      </c>
      <c r="F69" s="34">
        <v>0</v>
      </c>
      <c r="G69" s="35">
        <v>550</v>
      </c>
      <c r="H69" s="36">
        <v>110</v>
      </c>
      <c r="I69" s="34">
        <v>77</v>
      </c>
      <c r="J69" s="35">
        <v>88</v>
      </c>
      <c r="K69" s="37">
        <v>66</v>
      </c>
      <c r="L69" s="80">
        <f t="shared" si="2"/>
        <v>979</v>
      </c>
      <c r="M69" s="371"/>
      <c r="N69" s="352"/>
      <c r="O69" s="407"/>
      <c r="P69" s="407"/>
      <c r="Q69" s="407"/>
      <c r="R69" s="407"/>
      <c r="S69" s="407"/>
    </row>
    <row r="70" spans="2:19" ht="21.95" customHeight="1" x14ac:dyDescent="0.4">
      <c r="B70" s="452"/>
      <c r="C70" s="455"/>
      <c r="D70" s="423" t="s">
        <v>144</v>
      </c>
      <c r="E70" s="42">
        <v>3</v>
      </c>
      <c r="F70" s="43">
        <v>0</v>
      </c>
      <c r="G70" s="44">
        <v>21</v>
      </c>
      <c r="H70" s="45">
        <v>4</v>
      </c>
      <c r="I70" s="43">
        <v>0</v>
      </c>
      <c r="J70" s="44">
        <v>4</v>
      </c>
      <c r="K70" s="46">
        <v>20</v>
      </c>
      <c r="L70" s="77">
        <f t="shared" si="2"/>
        <v>52</v>
      </c>
      <c r="M70" s="372"/>
      <c r="N70" s="352"/>
    </row>
    <row r="71" spans="2:19" ht="21.95" customHeight="1" x14ac:dyDescent="0.4">
      <c r="B71" s="452"/>
      <c r="C71" s="455"/>
      <c r="D71" s="413"/>
      <c r="E71" s="33">
        <f>E9-(E69/11)</f>
        <v>648</v>
      </c>
      <c r="F71" s="34">
        <f>F9-(F69/11)</f>
        <v>15</v>
      </c>
      <c r="G71" s="35">
        <f>G9-(G69/11)</f>
        <v>539</v>
      </c>
      <c r="H71" s="36">
        <f>H9-(H69/11)</f>
        <v>297</v>
      </c>
      <c r="I71" s="34">
        <v>0</v>
      </c>
      <c r="J71" s="35">
        <f>J9-(J69/11)</f>
        <v>232</v>
      </c>
      <c r="K71" s="37">
        <f>K9-(K69/11)</f>
        <v>214</v>
      </c>
      <c r="L71" s="80">
        <f t="shared" si="2"/>
        <v>1945</v>
      </c>
      <c r="M71" s="372"/>
      <c r="N71" s="352"/>
    </row>
    <row r="72" spans="2:19" ht="21.95" customHeight="1" x14ac:dyDescent="0.4">
      <c r="B72" s="452"/>
      <c r="C72" s="331" t="s">
        <v>123</v>
      </c>
      <c r="D72" s="412" t="s">
        <v>9</v>
      </c>
      <c r="E72" s="20">
        <v>0</v>
      </c>
      <c r="F72" s="21">
        <v>0</v>
      </c>
      <c r="G72" s="22">
        <v>730</v>
      </c>
      <c r="H72" s="23">
        <v>20</v>
      </c>
      <c r="I72" s="21">
        <v>0</v>
      </c>
      <c r="J72" s="22">
        <v>10</v>
      </c>
      <c r="K72" s="24">
        <v>0</v>
      </c>
      <c r="L72" s="78">
        <f t="shared" si="2"/>
        <v>760</v>
      </c>
      <c r="M72" s="365" t="s">
        <v>98</v>
      </c>
      <c r="N72" s="352"/>
      <c r="O72" s="402"/>
      <c r="P72" s="402"/>
      <c r="Q72" s="402"/>
      <c r="R72" s="402"/>
      <c r="S72" s="402"/>
    </row>
    <row r="73" spans="2:19" ht="21.95" customHeight="1" x14ac:dyDescent="0.4">
      <c r="B73" s="452"/>
      <c r="C73" s="331"/>
      <c r="D73" s="413"/>
      <c r="E73" s="33">
        <f>E7*3</f>
        <v>4737</v>
      </c>
      <c r="F73" s="34">
        <f>F7*3</f>
        <v>99</v>
      </c>
      <c r="G73" s="35">
        <f>G7*3</f>
        <v>4419</v>
      </c>
      <c r="H73" s="36">
        <f>H7*3</f>
        <v>2430</v>
      </c>
      <c r="I73" s="34">
        <f>20*3</f>
        <v>60</v>
      </c>
      <c r="J73" s="35">
        <f>J7*3</f>
        <v>1872</v>
      </c>
      <c r="K73" s="37">
        <v>0</v>
      </c>
      <c r="L73" s="80">
        <f t="shared" si="2"/>
        <v>13617</v>
      </c>
      <c r="M73" s="365"/>
      <c r="N73" s="352"/>
      <c r="O73" s="402"/>
      <c r="P73" s="402"/>
      <c r="Q73" s="402"/>
      <c r="R73" s="402"/>
      <c r="S73" s="402"/>
    </row>
    <row r="74" spans="2:19" ht="21.95" customHeight="1" x14ac:dyDescent="0.4">
      <c r="B74" s="452"/>
      <c r="C74" s="331"/>
      <c r="D74" s="412" t="s">
        <v>143</v>
      </c>
      <c r="E74" s="20">
        <v>12</v>
      </c>
      <c r="F74" s="21">
        <v>0</v>
      </c>
      <c r="G74" s="22">
        <v>656</v>
      </c>
      <c r="H74" s="23">
        <v>0</v>
      </c>
      <c r="I74" s="21">
        <v>0</v>
      </c>
      <c r="J74" s="22">
        <v>0</v>
      </c>
      <c r="K74" s="24">
        <v>0</v>
      </c>
      <c r="L74" s="78">
        <f t="shared" ref="L74:L75" si="10">SUM(E74:K74)</f>
        <v>668</v>
      </c>
      <c r="M74" s="369"/>
      <c r="N74" s="309"/>
      <c r="O74" s="312"/>
      <c r="P74" s="312"/>
      <c r="Q74" s="312"/>
      <c r="R74" s="312"/>
      <c r="S74" s="312"/>
    </row>
    <row r="75" spans="2:19" ht="21.95" customHeight="1" x14ac:dyDescent="0.4">
      <c r="B75" s="452"/>
      <c r="C75" s="331"/>
      <c r="D75" s="413"/>
      <c r="E75" s="33">
        <f>E7</f>
        <v>1579</v>
      </c>
      <c r="F75" s="36">
        <f t="shared" ref="F75:K75" si="11">F7</f>
        <v>33</v>
      </c>
      <c r="G75" s="33">
        <f t="shared" si="11"/>
        <v>1473</v>
      </c>
      <c r="H75" s="33">
        <f t="shared" si="11"/>
        <v>810</v>
      </c>
      <c r="I75" s="36">
        <f>20</f>
        <v>20</v>
      </c>
      <c r="J75" s="33">
        <f t="shared" si="11"/>
        <v>624</v>
      </c>
      <c r="K75" s="35">
        <f t="shared" si="11"/>
        <v>571</v>
      </c>
      <c r="L75" s="80">
        <f t="shared" si="10"/>
        <v>5110</v>
      </c>
      <c r="M75" s="364"/>
      <c r="N75" s="309"/>
      <c r="O75" s="312"/>
      <c r="P75" s="312"/>
      <c r="Q75" s="312"/>
      <c r="R75" s="312"/>
      <c r="S75" s="312"/>
    </row>
    <row r="76" spans="2:19" ht="21.95" customHeight="1" x14ac:dyDescent="0.4">
      <c r="B76" s="452"/>
      <c r="C76" s="331"/>
      <c r="D76" s="412" t="s">
        <v>41</v>
      </c>
      <c r="E76" s="20">
        <v>130</v>
      </c>
      <c r="F76" s="21">
        <v>0</v>
      </c>
      <c r="G76" s="22">
        <v>130</v>
      </c>
      <c r="H76" s="23">
        <v>73</v>
      </c>
      <c r="I76" s="21">
        <v>7</v>
      </c>
      <c r="J76" s="22">
        <v>87</v>
      </c>
      <c r="K76" s="24">
        <v>80</v>
      </c>
      <c r="L76" s="78">
        <f t="shared" si="2"/>
        <v>507</v>
      </c>
      <c r="M76" s="365" t="s">
        <v>99</v>
      </c>
      <c r="N76" s="352"/>
      <c r="O76" s="8"/>
      <c r="P76" s="8"/>
      <c r="Q76" s="8"/>
      <c r="R76" s="8"/>
      <c r="S76" s="8"/>
    </row>
    <row r="77" spans="2:19" ht="21.95" customHeight="1" x14ac:dyDescent="0.4">
      <c r="B77" s="452"/>
      <c r="C77" s="331"/>
      <c r="D77" s="413"/>
      <c r="E77" s="33">
        <v>130</v>
      </c>
      <c r="F77" s="34"/>
      <c r="G77" s="35">
        <v>130</v>
      </c>
      <c r="H77" s="36">
        <v>73</v>
      </c>
      <c r="I77" s="34">
        <v>0</v>
      </c>
      <c r="J77" s="35">
        <v>87</v>
      </c>
      <c r="K77" s="37">
        <v>80</v>
      </c>
      <c r="L77" s="80">
        <f t="shared" si="2"/>
        <v>500</v>
      </c>
      <c r="M77" s="365"/>
      <c r="N77" s="352"/>
      <c r="O77" s="8"/>
      <c r="P77" s="8"/>
      <c r="Q77" s="8"/>
      <c r="R77" s="8"/>
      <c r="S77" s="8"/>
    </row>
    <row r="78" spans="2:19" ht="21.95" customHeight="1" x14ac:dyDescent="0.4">
      <c r="B78" s="452"/>
      <c r="C78" s="331"/>
      <c r="D78" s="412" t="s">
        <v>42</v>
      </c>
      <c r="E78" s="42">
        <v>0</v>
      </c>
      <c r="F78" s="43">
        <v>0</v>
      </c>
      <c r="G78" s="44">
        <v>0</v>
      </c>
      <c r="H78" s="45">
        <v>0</v>
      </c>
      <c r="I78" s="43">
        <v>11</v>
      </c>
      <c r="J78" s="44">
        <v>0</v>
      </c>
      <c r="K78" s="46">
        <v>0</v>
      </c>
      <c r="L78" s="77">
        <f t="shared" si="2"/>
        <v>11</v>
      </c>
      <c r="M78" s="365" t="s">
        <v>100</v>
      </c>
      <c r="N78" s="353"/>
    </row>
    <row r="79" spans="2:19" ht="21.95" customHeight="1" x14ac:dyDescent="0.4">
      <c r="B79" s="452"/>
      <c r="C79" s="331"/>
      <c r="D79" s="413"/>
      <c r="E79" s="33">
        <v>0</v>
      </c>
      <c r="F79" s="34">
        <v>0</v>
      </c>
      <c r="G79" s="35">
        <v>0</v>
      </c>
      <c r="H79" s="36">
        <v>0</v>
      </c>
      <c r="I79" s="34">
        <v>11</v>
      </c>
      <c r="J79" s="35">
        <v>0</v>
      </c>
      <c r="K79" s="37">
        <v>0</v>
      </c>
      <c r="L79" s="80">
        <f t="shared" si="2"/>
        <v>11</v>
      </c>
      <c r="M79" s="365"/>
      <c r="N79" s="353"/>
    </row>
    <row r="80" spans="2:19" ht="21.95" customHeight="1" x14ac:dyDescent="0.4">
      <c r="B80" s="452"/>
      <c r="C80" s="331"/>
      <c r="D80" s="412" t="s">
        <v>142</v>
      </c>
      <c r="E80" s="42">
        <v>0</v>
      </c>
      <c r="F80" s="43">
        <v>0</v>
      </c>
      <c r="G80" s="44">
        <v>0</v>
      </c>
      <c r="H80" s="45">
        <v>2</v>
      </c>
      <c r="I80" s="43">
        <v>0</v>
      </c>
      <c r="J80" s="44">
        <v>0</v>
      </c>
      <c r="K80" s="46">
        <v>0</v>
      </c>
      <c r="L80" s="77">
        <f t="shared" ref="L80:L81" si="12">SUM(E80:K80)</f>
        <v>2</v>
      </c>
      <c r="M80" s="369" t="s">
        <v>100</v>
      </c>
      <c r="N80" s="115"/>
    </row>
    <row r="81" spans="2:14" ht="21.95" customHeight="1" x14ac:dyDescent="0.4">
      <c r="B81" s="452"/>
      <c r="C81" s="331"/>
      <c r="D81" s="413"/>
      <c r="E81" s="33">
        <v>0</v>
      </c>
      <c r="F81" s="34">
        <v>0</v>
      </c>
      <c r="G81" s="35">
        <v>0</v>
      </c>
      <c r="H81" s="36">
        <v>0</v>
      </c>
      <c r="I81" s="34">
        <v>2</v>
      </c>
      <c r="J81" s="35">
        <v>0</v>
      </c>
      <c r="K81" s="37">
        <v>0</v>
      </c>
      <c r="L81" s="80">
        <f t="shared" si="12"/>
        <v>2</v>
      </c>
      <c r="M81" s="364"/>
      <c r="N81" s="115"/>
    </row>
    <row r="82" spans="2:14" ht="21.95" customHeight="1" x14ac:dyDescent="0.4">
      <c r="B82" s="452"/>
      <c r="C82" s="331"/>
      <c r="D82" s="412" t="s">
        <v>64</v>
      </c>
      <c r="E82" s="20">
        <v>1</v>
      </c>
      <c r="F82" s="21">
        <v>0</v>
      </c>
      <c r="G82" s="22">
        <v>40</v>
      </c>
      <c r="H82" s="23">
        <v>21</v>
      </c>
      <c r="I82" s="21">
        <v>0</v>
      </c>
      <c r="J82" s="22">
        <v>20</v>
      </c>
      <c r="K82" s="24">
        <v>75</v>
      </c>
      <c r="L82" s="78">
        <f t="shared" si="2"/>
        <v>157</v>
      </c>
      <c r="M82" s="365" t="s">
        <v>102</v>
      </c>
      <c r="N82" s="352"/>
    </row>
    <row r="83" spans="2:14" ht="21.95" customHeight="1" x14ac:dyDescent="0.4">
      <c r="B83" s="452"/>
      <c r="C83" s="331"/>
      <c r="D83" s="413"/>
      <c r="E83" s="33">
        <f>E7*0.2</f>
        <v>315.8</v>
      </c>
      <c r="F83" s="34">
        <v>14</v>
      </c>
      <c r="G83" s="35">
        <f>G7*0.2</f>
        <v>294.60000000000002</v>
      </c>
      <c r="H83" s="36">
        <f>H7*0.2</f>
        <v>162</v>
      </c>
      <c r="I83" s="34">
        <v>0</v>
      </c>
      <c r="J83" s="35">
        <f>J7*0.2</f>
        <v>124.80000000000001</v>
      </c>
      <c r="K83" s="37">
        <f>K7*0.2</f>
        <v>114.2</v>
      </c>
      <c r="L83" s="80">
        <f t="shared" si="2"/>
        <v>1025.4000000000001</v>
      </c>
      <c r="M83" s="365"/>
      <c r="N83" s="352"/>
    </row>
    <row r="84" spans="2:14" ht="21.95" customHeight="1" x14ac:dyDescent="0.4">
      <c r="B84" s="452"/>
      <c r="C84" s="331"/>
      <c r="D84" s="423" t="s">
        <v>44</v>
      </c>
      <c r="E84" s="20">
        <v>0</v>
      </c>
      <c r="F84" s="21">
        <v>0</v>
      </c>
      <c r="G84" s="22">
        <v>240</v>
      </c>
      <c r="H84" s="23">
        <v>120</v>
      </c>
      <c r="I84" s="21">
        <v>0</v>
      </c>
      <c r="J84" s="22">
        <v>0</v>
      </c>
      <c r="K84" s="24">
        <v>0</v>
      </c>
      <c r="L84" s="78">
        <f t="shared" si="2"/>
        <v>360</v>
      </c>
      <c r="M84" s="365" t="s">
        <v>103</v>
      </c>
      <c r="N84" s="353"/>
    </row>
    <row r="85" spans="2:14" ht="21.95" customHeight="1" x14ac:dyDescent="0.4">
      <c r="B85" s="452"/>
      <c r="C85" s="331"/>
      <c r="D85" s="413"/>
      <c r="E85" s="33">
        <f>E7-E77-E83</f>
        <v>1133.2</v>
      </c>
      <c r="F85" s="34">
        <v>20</v>
      </c>
      <c r="G85" s="35">
        <f>G7-G77-G83</f>
        <v>1048.4000000000001</v>
      </c>
      <c r="H85" s="36">
        <f>H7-H77-H83</f>
        <v>575</v>
      </c>
      <c r="I85" s="34">
        <v>7</v>
      </c>
      <c r="J85" s="35">
        <f>J7-J77-J83</f>
        <v>412.2</v>
      </c>
      <c r="K85" s="37">
        <f>K7-K77-K83</f>
        <v>376.8</v>
      </c>
      <c r="L85" s="80">
        <f t="shared" si="2"/>
        <v>3572.6000000000004</v>
      </c>
      <c r="M85" s="365"/>
      <c r="N85" s="353"/>
    </row>
    <row r="86" spans="2:14" ht="21.95" customHeight="1" x14ac:dyDescent="0.4">
      <c r="B86" s="452"/>
      <c r="C86" s="331"/>
      <c r="D86" s="412" t="s">
        <v>26</v>
      </c>
      <c r="E86" s="20">
        <v>0</v>
      </c>
      <c r="F86" s="21">
        <v>0</v>
      </c>
      <c r="G86" s="22">
        <v>240</v>
      </c>
      <c r="H86" s="23">
        <v>120</v>
      </c>
      <c r="I86" s="21">
        <v>0</v>
      </c>
      <c r="J86" s="22">
        <v>0</v>
      </c>
      <c r="K86" s="24">
        <v>0</v>
      </c>
      <c r="L86" s="78">
        <f t="shared" si="2"/>
        <v>360</v>
      </c>
      <c r="M86" s="365" t="s">
        <v>103</v>
      </c>
      <c r="N86" s="353"/>
    </row>
    <row r="87" spans="2:14" ht="21.95" customHeight="1" x14ac:dyDescent="0.4">
      <c r="B87" s="452"/>
      <c r="C87" s="331"/>
      <c r="D87" s="413"/>
      <c r="E87" s="33">
        <f>E7-E77-E83</f>
        <v>1133.2</v>
      </c>
      <c r="F87" s="34">
        <v>20</v>
      </c>
      <c r="G87" s="35">
        <f>G7-G77-G83</f>
        <v>1048.4000000000001</v>
      </c>
      <c r="H87" s="36">
        <f>H7-H77-H83</f>
        <v>575</v>
      </c>
      <c r="I87" s="34">
        <v>7</v>
      </c>
      <c r="J87" s="35">
        <f>J7-J77-J83</f>
        <v>412.2</v>
      </c>
      <c r="K87" s="37">
        <f>K7-K77-K83</f>
        <v>376.8</v>
      </c>
      <c r="L87" s="80">
        <f t="shared" si="2"/>
        <v>3572.6000000000004</v>
      </c>
      <c r="M87" s="365"/>
      <c r="N87" s="353"/>
    </row>
    <row r="88" spans="2:14" ht="21.95" customHeight="1" x14ac:dyDescent="0.4">
      <c r="B88" s="452"/>
      <c r="C88" s="331" t="s">
        <v>124</v>
      </c>
      <c r="D88" s="412" t="s">
        <v>18</v>
      </c>
      <c r="E88" s="20">
        <v>2</v>
      </c>
      <c r="F88" s="21">
        <v>0</v>
      </c>
      <c r="G88" s="22">
        <v>2</v>
      </c>
      <c r="H88" s="23">
        <v>2</v>
      </c>
      <c r="I88" s="21">
        <v>0</v>
      </c>
      <c r="J88" s="22">
        <v>0</v>
      </c>
      <c r="K88" s="24">
        <v>2</v>
      </c>
      <c r="L88" s="78">
        <f t="shared" si="2"/>
        <v>8</v>
      </c>
      <c r="M88" s="365" t="s">
        <v>104</v>
      </c>
      <c r="N88" s="352"/>
    </row>
    <row r="89" spans="2:14" ht="21.95" customHeight="1" x14ac:dyDescent="0.4">
      <c r="B89" s="452"/>
      <c r="C89" s="331"/>
      <c r="D89" s="413"/>
      <c r="E89" s="33">
        <v>2</v>
      </c>
      <c r="F89" s="34">
        <v>0</v>
      </c>
      <c r="G89" s="35">
        <v>2</v>
      </c>
      <c r="H89" s="36">
        <v>2</v>
      </c>
      <c r="I89" s="34">
        <v>0</v>
      </c>
      <c r="J89" s="35">
        <v>0</v>
      </c>
      <c r="K89" s="37">
        <v>2</v>
      </c>
      <c r="L89" s="80">
        <f t="shared" si="2"/>
        <v>8</v>
      </c>
      <c r="M89" s="365"/>
      <c r="N89" s="352"/>
    </row>
    <row r="90" spans="2:14" ht="21.95" customHeight="1" x14ac:dyDescent="0.4">
      <c r="B90" s="452"/>
      <c r="C90" s="331"/>
      <c r="D90" s="412" t="s">
        <v>46</v>
      </c>
      <c r="E90" s="51">
        <v>2</v>
      </c>
      <c r="F90" s="52">
        <v>0</v>
      </c>
      <c r="G90" s="53">
        <v>2</v>
      </c>
      <c r="H90" s="54">
        <v>2</v>
      </c>
      <c r="I90" s="52">
        <v>0</v>
      </c>
      <c r="J90" s="53">
        <v>0</v>
      </c>
      <c r="K90" s="55">
        <v>2</v>
      </c>
      <c r="L90" s="81">
        <f t="shared" si="2"/>
        <v>8</v>
      </c>
      <c r="M90" s="365" t="s">
        <v>105</v>
      </c>
      <c r="N90" s="352"/>
    </row>
    <row r="91" spans="2:14" ht="21.95" customHeight="1" x14ac:dyDescent="0.4">
      <c r="B91" s="452"/>
      <c r="C91" s="331"/>
      <c r="D91" s="413"/>
      <c r="E91" s="33">
        <v>8</v>
      </c>
      <c r="F91" s="34">
        <v>1</v>
      </c>
      <c r="G91" s="35">
        <v>8</v>
      </c>
      <c r="H91" s="36">
        <v>8</v>
      </c>
      <c r="I91" s="34">
        <v>0</v>
      </c>
      <c r="J91" s="35">
        <v>0</v>
      </c>
      <c r="K91" s="37">
        <v>8</v>
      </c>
      <c r="L91" s="80">
        <f t="shared" si="2"/>
        <v>33</v>
      </c>
      <c r="M91" s="365"/>
      <c r="N91" s="352"/>
    </row>
    <row r="92" spans="2:14" ht="21.95" customHeight="1" x14ac:dyDescent="0.4">
      <c r="B92" s="452"/>
      <c r="C92" s="331"/>
      <c r="D92" s="412" t="s">
        <v>145</v>
      </c>
      <c r="E92" s="51">
        <v>2</v>
      </c>
      <c r="F92" s="52">
        <v>0</v>
      </c>
      <c r="G92" s="53">
        <v>2</v>
      </c>
      <c r="H92" s="54">
        <v>2</v>
      </c>
      <c r="I92" s="52">
        <v>0</v>
      </c>
      <c r="J92" s="53">
        <v>0</v>
      </c>
      <c r="K92" s="55">
        <v>0</v>
      </c>
      <c r="L92" s="81">
        <f t="shared" ref="L92:L93" si="13">SUM(E92:K92)</f>
        <v>6</v>
      </c>
      <c r="M92" s="365" t="s">
        <v>104</v>
      </c>
      <c r="N92" s="114"/>
    </row>
    <row r="93" spans="2:14" ht="21.95" customHeight="1" x14ac:dyDescent="0.4">
      <c r="B93" s="452"/>
      <c r="C93" s="331"/>
      <c r="D93" s="413"/>
      <c r="E93" s="33">
        <v>8</v>
      </c>
      <c r="F93" s="34">
        <v>1</v>
      </c>
      <c r="G93" s="35">
        <v>8</v>
      </c>
      <c r="H93" s="36">
        <v>8</v>
      </c>
      <c r="I93" s="34">
        <v>0</v>
      </c>
      <c r="J93" s="35">
        <v>0</v>
      </c>
      <c r="K93" s="37">
        <v>8</v>
      </c>
      <c r="L93" s="80">
        <f t="shared" si="13"/>
        <v>33</v>
      </c>
      <c r="M93" s="365"/>
      <c r="N93" s="114"/>
    </row>
    <row r="94" spans="2:14" ht="21.95" customHeight="1" x14ac:dyDescent="0.4">
      <c r="B94" s="452"/>
      <c r="C94" s="331"/>
      <c r="D94" s="412" t="s">
        <v>19</v>
      </c>
      <c r="E94" s="20">
        <v>0</v>
      </c>
      <c r="F94" s="21">
        <v>0</v>
      </c>
      <c r="G94" s="22">
        <v>0</v>
      </c>
      <c r="H94" s="23">
        <v>0</v>
      </c>
      <c r="I94" s="21">
        <v>0</v>
      </c>
      <c r="J94" s="22">
        <v>0</v>
      </c>
      <c r="K94" s="24">
        <v>0</v>
      </c>
      <c r="L94" s="78">
        <f t="shared" si="2"/>
        <v>0</v>
      </c>
      <c r="M94" s="365" t="s">
        <v>106</v>
      </c>
      <c r="N94" s="353"/>
    </row>
    <row r="95" spans="2:14" ht="21.95" customHeight="1" thickBot="1" x14ac:dyDescent="0.45">
      <c r="B95" s="453"/>
      <c r="C95" s="332"/>
      <c r="D95" s="422"/>
      <c r="E95" s="62">
        <v>8</v>
      </c>
      <c r="F95" s="63">
        <v>2</v>
      </c>
      <c r="G95" s="64">
        <v>8</v>
      </c>
      <c r="H95" s="65">
        <v>8</v>
      </c>
      <c r="I95" s="63">
        <v>0</v>
      </c>
      <c r="J95" s="64">
        <v>0</v>
      </c>
      <c r="K95" s="66">
        <v>8</v>
      </c>
      <c r="L95" s="66">
        <f t="shared" si="2"/>
        <v>34</v>
      </c>
      <c r="M95" s="392"/>
      <c r="N95" s="353"/>
    </row>
    <row r="96" spans="2:14" ht="21.95" customHeight="1" x14ac:dyDescent="0.4">
      <c r="B96" s="429" t="s">
        <v>63</v>
      </c>
      <c r="C96" s="430"/>
      <c r="D96" s="421" t="s">
        <v>21</v>
      </c>
      <c r="E96" s="263">
        <v>0</v>
      </c>
      <c r="F96" s="264">
        <v>0</v>
      </c>
      <c r="G96" s="265">
        <v>0</v>
      </c>
      <c r="H96" s="266">
        <v>0</v>
      </c>
      <c r="I96" s="267">
        <v>0</v>
      </c>
      <c r="J96" s="268">
        <v>0</v>
      </c>
      <c r="K96" s="265">
        <v>0</v>
      </c>
      <c r="L96" s="268">
        <f t="shared" ref="L96:L158" si="14">SUM(E96:K96)</f>
        <v>0</v>
      </c>
      <c r="M96" s="391"/>
    </row>
    <row r="97" spans="2:14" ht="21.95" customHeight="1" x14ac:dyDescent="0.4">
      <c r="B97" s="431"/>
      <c r="C97" s="432"/>
      <c r="D97" s="337"/>
      <c r="E97" s="269">
        <v>160</v>
      </c>
      <c r="F97" s="270">
        <v>3</v>
      </c>
      <c r="G97" s="271">
        <v>150</v>
      </c>
      <c r="H97" s="272">
        <v>8</v>
      </c>
      <c r="I97" s="273">
        <v>2</v>
      </c>
      <c r="J97" s="274">
        <v>60</v>
      </c>
      <c r="K97" s="271">
        <v>55</v>
      </c>
      <c r="L97" s="274">
        <f t="shared" si="14"/>
        <v>438</v>
      </c>
      <c r="M97" s="372"/>
      <c r="N97" s="10"/>
    </row>
    <row r="98" spans="2:14" ht="21.95" customHeight="1" x14ac:dyDescent="0.4">
      <c r="B98" s="431"/>
      <c r="C98" s="432"/>
      <c r="D98" s="340" t="s">
        <v>20</v>
      </c>
      <c r="E98" s="142">
        <v>0</v>
      </c>
      <c r="F98" s="140">
        <v>0</v>
      </c>
      <c r="G98" s="141">
        <v>4800</v>
      </c>
      <c r="H98" s="139">
        <v>0</v>
      </c>
      <c r="I98" s="275">
        <v>0</v>
      </c>
      <c r="J98" s="144">
        <v>0</v>
      </c>
      <c r="K98" s="141">
        <v>0</v>
      </c>
      <c r="L98" s="144">
        <f t="shared" si="14"/>
        <v>4800</v>
      </c>
      <c r="M98" s="372"/>
      <c r="N98" s="10"/>
    </row>
    <row r="99" spans="2:14" ht="21.95" customHeight="1" x14ac:dyDescent="0.4">
      <c r="B99" s="431"/>
      <c r="C99" s="432"/>
      <c r="D99" s="337"/>
      <c r="E99" s="269">
        <f>G98*E8-4</f>
        <v>1485.0373280943027</v>
      </c>
      <c r="F99" s="270">
        <f>G98*F8-1</f>
        <v>30.119842829076617</v>
      </c>
      <c r="G99" s="271">
        <f>G98*G8-3</f>
        <v>1386.0766208251473</v>
      </c>
      <c r="H99" s="272">
        <f>G98*H8-2</f>
        <v>761.85068762278979</v>
      </c>
      <c r="I99" s="273">
        <v>12</v>
      </c>
      <c r="J99" s="274">
        <f>G98*J8-1</f>
        <v>587.44793713163062</v>
      </c>
      <c r="K99" s="271">
        <f>G98*K8-1</f>
        <v>537.46758349705306</v>
      </c>
      <c r="L99" s="274">
        <f t="shared" si="14"/>
        <v>4800</v>
      </c>
      <c r="M99" s="372"/>
      <c r="N99" s="10"/>
    </row>
    <row r="100" spans="2:14" ht="21.95" customHeight="1" x14ac:dyDescent="0.4">
      <c r="B100" s="431"/>
      <c r="C100" s="432"/>
      <c r="D100" s="340" t="s">
        <v>146</v>
      </c>
      <c r="E100" s="233">
        <v>0</v>
      </c>
      <c r="F100" s="234">
        <v>0</v>
      </c>
      <c r="G100" s="235">
        <v>936</v>
      </c>
      <c r="H100" s="133">
        <v>0</v>
      </c>
      <c r="I100" s="306">
        <v>0</v>
      </c>
      <c r="J100" s="237">
        <v>0</v>
      </c>
      <c r="K100" s="307">
        <v>0</v>
      </c>
      <c r="L100" s="144">
        <f t="shared" si="14"/>
        <v>936</v>
      </c>
      <c r="M100" s="389"/>
      <c r="N100" s="10"/>
    </row>
    <row r="101" spans="2:14" ht="21.95" customHeight="1" x14ac:dyDescent="0.4">
      <c r="B101" s="431"/>
      <c r="C101" s="432"/>
      <c r="D101" s="337"/>
      <c r="E101" s="272">
        <f>E9</f>
        <v>656</v>
      </c>
      <c r="F101" s="270">
        <f>F9</f>
        <v>15</v>
      </c>
      <c r="G101" s="271">
        <f>G9</f>
        <v>589</v>
      </c>
      <c r="H101" s="272">
        <f>H9-2</f>
        <v>305</v>
      </c>
      <c r="I101" s="273">
        <f>10</f>
        <v>10</v>
      </c>
      <c r="J101" s="274">
        <f>J9</f>
        <v>240</v>
      </c>
      <c r="K101" s="276">
        <f>K9</f>
        <v>220</v>
      </c>
      <c r="L101" s="277">
        <f>SUM(E101:K101)</f>
        <v>2035</v>
      </c>
      <c r="M101" s="383"/>
      <c r="N101" s="10"/>
    </row>
    <row r="102" spans="2:14" ht="21.95" customHeight="1" x14ac:dyDescent="0.4">
      <c r="B102" s="431"/>
      <c r="C102" s="432"/>
      <c r="D102" s="340" t="s">
        <v>156</v>
      </c>
      <c r="E102" s="142">
        <v>0</v>
      </c>
      <c r="F102" s="140">
        <v>0</v>
      </c>
      <c r="G102" s="141">
        <v>0</v>
      </c>
      <c r="H102" s="139">
        <v>0</v>
      </c>
      <c r="I102" s="275">
        <v>0</v>
      </c>
      <c r="J102" s="143">
        <v>0</v>
      </c>
      <c r="K102" s="278">
        <v>0</v>
      </c>
      <c r="L102" s="144">
        <f t="shared" si="14"/>
        <v>0</v>
      </c>
      <c r="M102" s="372"/>
      <c r="N102" s="10"/>
    </row>
    <row r="103" spans="2:14" ht="21.95" customHeight="1" x14ac:dyDescent="0.4">
      <c r="B103" s="431"/>
      <c r="C103" s="432"/>
      <c r="D103" s="337"/>
      <c r="E103" s="269">
        <f>E7*0.085</f>
        <v>134.215</v>
      </c>
      <c r="F103" s="270">
        <f>F7*0.0085</f>
        <v>0.28050000000000003</v>
      </c>
      <c r="G103" s="271">
        <f>G7*0.085</f>
        <v>125.20500000000001</v>
      </c>
      <c r="H103" s="272">
        <f>H7*0.085</f>
        <v>68.850000000000009</v>
      </c>
      <c r="I103" s="273">
        <f>20*0.0085</f>
        <v>0.17</v>
      </c>
      <c r="J103" s="277">
        <f>J7*0.085</f>
        <v>53.040000000000006</v>
      </c>
      <c r="K103" s="277">
        <f>K7*0.085</f>
        <v>48.535000000000004</v>
      </c>
      <c r="L103" s="274">
        <f t="shared" si="14"/>
        <v>430.29550000000012</v>
      </c>
      <c r="M103" s="372"/>
      <c r="N103" s="10"/>
    </row>
    <row r="104" spans="2:14" ht="21.95" customHeight="1" x14ac:dyDescent="0.4">
      <c r="B104" s="431"/>
      <c r="C104" s="432"/>
      <c r="D104" s="340" t="s">
        <v>23</v>
      </c>
      <c r="E104" s="266">
        <v>0</v>
      </c>
      <c r="F104" s="264">
        <v>0</v>
      </c>
      <c r="G104" s="265">
        <v>0</v>
      </c>
      <c r="H104" s="266">
        <v>0</v>
      </c>
      <c r="I104" s="267">
        <v>0</v>
      </c>
      <c r="J104" s="279">
        <v>0</v>
      </c>
      <c r="K104" s="279">
        <v>0</v>
      </c>
      <c r="L104" s="268">
        <f t="shared" si="14"/>
        <v>0</v>
      </c>
      <c r="M104" s="372"/>
      <c r="N104" s="10"/>
    </row>
    <row r="105" spans="2:14" ht="21.95" customHeight="1" x14ac:dyDescent="0.4">
      <c r="B105" s="431"/>
      <c r="C105" s="432"/>
      <c r="D105" s="337"/>
      <c r="E105" s="269">
        <f>E103/5</f>
        <v>26.843</v>
      </c>
      <c r="F105" s="270">
        <v>0</v>
      </c>
      <c r="G105" s="271">
        <f>G103/5</f>
        <v>25.041000000000004</v>
      </c>
      <c r="H105" s="272">
        <f>H103/5</f>
        <v>13.770000000000001</v>
      </c>
      <c r="I105" s="273">
        <v>0</v>
      </c>
      <c r="J105" s="277">
        <f>J103/5</f>
        <v>10.608000000000001</v>
      </c>
      <c r="K105" s="277">
        <f>K103 /5</f>
        <v>9.7070000000000007</v>
      </c>
      <c r="L105" s="274">
        <f t="shared" si="14"/>
        <v>85.968999999999994</v>
      </c>
      <c r="M105" s="372"/>
      <c r="N105" s="10"/>
    </row>
    <row r="106" spans="2:14" ht="21.95" customHeight="1" x14ac:dyDescent="0.4">
      <c r="B106" s="431"/>
      <c r="C106" s="432"/>
      <c r="D106" s="340" t="s">
        <v>22</v>
      </c>
      <c r="E106" s="266">
        <v>0</v>
      </c>
      <c r="F106" s="264">
        <v>0</v>
      </c>
      <c r="G106" s="265">
        <v>0</v>
      </c>
      <c r="H106" s="266">
        <v>0</v>
      </c>
      <c r="I106" s="267">
        <v>0</v>
      </c>
      <c r="J106" s="279">
        <v>0</v>
      </c>
      <c r="K106" s="279">
        <v>0</v>
      </c>
      <c r="L106" s="268">
        <f t="shared" si="14"/>
        <v>0</v>
      </c>
      <c r="M106" s="372"/>
      <c r="N106" s="10"/>
    </row>
    <row r="107" spans="2:14" ht="21.95" customHeight="1" x14ac:dyDescent="0.4">
      <c r="B107" s="431"/>
      <c r="C107" s="432"/>
      <c r="D107" s="344"/>
      <c r="E107" s="280">
        <f>E7*0.5</f>
        <v>789.5</v>
      </c>
      <c r="F107" s="281">
        <f>F7*0.5</f>
        <v>16.5</v>
      </c>
      <c r="G107" s="276">
        <f>G7*0.5</f>
        <v>736.5</v>
      </c>
      <c r="H107" s="282">
        <f>H7*0.5</f>
        <v>405</v>
      </c>
      <c r="I107" s="283">
        <f>20*0.5</f>
        <v>10</v>
      </c>
      <c r="J107" s="284">
        <f>J7*0.5</f>
        <v>312</v>
      </c>
      <c r="K107" s="284">
        <f>K7*0.5</f>
        <v>285.5</v>
      </c>
      <c r="L107" s="285">
        <f t="shared" si="14"/>
        <v>2555</v>
      </c>
      <c r="M107" s="372"/>
      <c r="N107" s="10"/>
    </row>
    <row r="108" spans="2:14" ht="21.95" customHeight="1" x14ac:dyDescent="0.4">
      <c r="B108" s="431"/>
      <c r="C108" s="432"/>
      <c r="D108" s="336" t="s">
        <v>148</v>
      </c>
      <c r="E108" s="240">
        <v>0</v>
      </c>
      <c r="F108" s="241">
        <v>0</v>
      </c>
      <c r="G108" s="242">
        <v>480</v>
      </c>
      <c r="H108" s="240">
        <v>0</v>
      </c>
      <c r="I108" s="286">
        <v>0</v>
      </c>
      <c r="J108" s="244">
        <v>0</v>
      </c>
      <c r="K108" s="244">
        <v>0</v>
      </c>
      <c r="L108" s="245">
        <f t="shared" si="14"/>
        <v>480</v>
      </c>
      <c r="M108" s="372"/>
      <c r="N108" s="10"/>
    </row>
    <row r="109" spans="2:14" ht="21.95" customHeight="1" x14ac:dyDescent="0.4">
      <c r="B109" s="431"/>
      <c r="C109" s="432"/>
      <c r="D109" s="337"/>
      <c r="E109" s="269">
        <f>E9</f>
        <v>656</v>
      </c>
      <c r="F109" s="270">
        <f>F9</f>
        <v>15</v>
      </c>
      <c r="G109" s="271">
        <f>G9</f>
        <v>589</v>
      </c>
      <c r="H109" s="272">
        <f>H9</f>
        <v>307</v>
      </c>
      <c r="I109" s="273">
        <v>10</v>
      </c>
      <c r="J109" s="277">
        <f>J9</f>
        <v>240</v>
      </c>
      <c r="K109" s="277">
        <f>K9</f>
        <v>220</v>
      </c>
      <c r="L109" s="274">
        <f t="shared" si="14"/>
        <v>2037</v>
      </c>
      <c r="M109" s="372"/>
      <c r="N109" s="10"/>
    </row>
    <row r="110" spans="2:14" ht="21.95" customHeight="1" x14ac:dyDescent="0.4">
      <c r="B110" s="431"/>
      <c r="C110" s="432"/>
      <c r="D110" s="340" t="s">
        <v>65</v>
      </c>
      <c r="E110" s="287">
        <v>2</v>
      </c>
      <c r="F110" s="288">
        <v>0</v>
      </c>
      <c r="G110" s="278">
        <v>37</v>
      </c>
      <c r="H110" s="289">
        <v>0</v>
      </c>
      <c r="I110" s="290">
        <v>0</v>
      </c>
      <c r="J110" s="291">
        <v>0</v>
      </c>
      <c r="K110" s="291">
        <v>310</v>
      </c>
      <c r="L110" s="292">
        <f t="shared" si="14"/>
        <v>349</v>
      </c>
      <c r="M110" s="372"/>
      <c r="N110" s="10"/>
    </row>
    <row r="111" spans="2:14" ht="21.95" customHeight="1" x14ac:dyDescent="0.4">
      <c r="B111" s="431"/>
      <c r="C111" s="432"/>
      <c r="D111" s="337"/>
      <c r="E111" s="269">
        <v>222</v>
      </c>
      <c r="F111" s="270">
        <v>5</v>
      </c>
      <c r="G111" s="271">
        <v>207</v>
      </c>
      <c r="H111" s="272">
        <v>114</v>
      </c>
      <c r="I111" s="273">
        <v>6</v>
      </c>
      <c r="J111" s="277">
        <v>88</v>
      </c>
      <c r="K111" s="277">
        <v>80</v>
      </c>
      <c r="L111" s="274">
        <f t="shared" si="14"/>
        <v>722</v>
      </c>
      <c r="M111" s="372"/>
      <c r="N111" s="10"/>
    </row>
    <row r="112" spans="2:14" ht="21.95" customHeight="1" x14ac:dyDescent="0.4">
      <c r="B112" s="431"/>
      <c r="C112" s="432"/>
      <c r="D112" s="344" t="s">
        <v>147</v>
      </c>
      <c r="E112" s="246">
        <v>0</v>
      </c>
      <c r="F112" s="313">
        <v>0</v>
      </c>
      <c r="G112" s="248">
        <v>832</v>
      </c>
      <c r="H112" s="249">
        <v>0</v>
      </c>
      <c r="I112" s="247">
        <v>0</v>
      </c>
      <c r="J112" s="248">
        <v>0</v>
      </c>
      <c r="K112" s="250">
        <v>0</v>
      </c>
      <c r="L112" s="250">
        <f t="shared" ref="L112:L113" si="15">SUM(E112:K112)</f>
        <v>832</v>
      </c>
      <c r="M112" s="308"/>
      <c r="N112" s="10"/>
    </row>
    <row r="113" spans="2:14" ht="21.95" customHeight="1" thickBot="1" x14ac:dyDescent="0.45">
      <c r="B113" s="433"/>
      <c r="C113" s="434"/>
      <c r="D113" s="345"/>
      <c r="E113" s="295">
        <f>G112*E8-2</f>
        <v>256.0998035363458</v>
      </c>
      <c r="F113" s="296">
        <f>G112*F8</f>
        <v>5.3941060903732803</v>
      </c>
      <c r="G113" s="294">
        <f>G112*G8-1</f>
        <v>239.77328094302553</v>
      </c>
      <c r="H113" s="293">
        <f>G112*H8-1</f>
        <v>131.40078585461688</v>
      </c>
      <c r="I113" s="297">
        <v>4</v>
      </c>
      <c r="J113" s="295">
        <f>G112*J8</f>
        <v>101.99764243614931</v>
      </c>
      <c r="K113" s="296">
        <f>G112*K8</f>
        <v>93.334381139489196</v>
      </c>
      <c r="L113" s="296">
        <f t="shared" si="15"/>
        <v>831.99999999999989</v>
      </c>
      <c r="M113" s="308"/>
      <c r="N113" s="10"/>
    </row>
    <row r="114" spans="2:14" ht="21.95" customHeight="1" x14ac:dyDescent="0.4">
      <c r="B114" s="437" t="s">
        <v>10</v>
      </c>
      <c r="C114" s="438"/>
      <c r="D114" s="342" t="s">
        <v>141</v>
      </c>
      <c r="E114" s="83">
        <v>0</v>
      </c>
      <c r="F114" s="84">
        <v>0</v>
      </c>
      <c r="G114" s="85">
        <v>12420</v>
      </c>
      <c r="H114" s="86">
        <v>0</v>
      </c>
      <c r="I114" s="84">
        <v>0</v>
      </c>
      <c r="J114" s="85">
        <v>0</v>
      </c>
      <c r="K114" s="87">
        <v>0</v>
      </c>
      <c r="L114" s="88">
        <f t="shared" si="14"/>
        <v>12420</v>
      </c>
      <c r="M114" s="390" t="s">
        <v>127</v>
      </c>
    </row>
    <row r="115" spans="2:14" ht="21.95" customHeight="1" x14ac:dyDescent="0.4">
      <c r="B115" s="439"/>
      <c r="C115" s="440"/>
      <c r="D115" s="339"/>
      <c r="E115" s="215">
        <f>E7*5*6</f>
        <v>47370</v>
      </c>
      <c r="F115" s="216">
        <f>F7*5*6</f>
        <v>990</v>
      </c>
      <c r="G115" s="217">
        <f>G7*5*6</f>
        <v>44190</v>
      </c>
      <c r="H115" s="218">
        <f>H7*5*6</f>
        <v>24300</v>
      </c>
      <c r="I115" s="216">
        <f>20*5*6</f>
        <v>600</v>
      </c>
      <c r="J115" s="217">
        <f>J7*5*6</f>
        <v>18720</v>
      </c>
      <c r="K115" s="219">
        <f>K7*5*6</f>
        <v>17130</v>
      </c>
      <c r="L115" s="220">
        <f>SUM(E115:K115)</f>
        <v>153300</v>
      </c>
      <c r="M115" s="365"/>
      <c r="N115" s="10"/>
    </row>
    <row r="116" spans="2:14" ht="21.95" customHeight="1" x14ac:dyDescent="0.4">
      <c r="B116" s="439"/>
      <c r="C116" s="440"/>
      <c r="D116" s="338" t="s">
        <v>140</v>
      </c>
      <c r="E116" s="38">
        <v>0</v>
      </c>
      <c r="F116" s="39">
        <v>0</v>
      </c>
      <c r="G116" s="40">
        <v>40</v>
      </c>
      <c r="H116" s="41">
        <v>0</v>
      </c>
      <c r="I116" s="39">
        <v>0</v>
      </c>
      <c r="J116" s="40">
        <v>0</v>
      </c>
      <c r="K116" s="61">
        <v>0</v>
      </c>
      <c r="L116" s="82">
        <f t="shared" si="14"/>
        <v>40</v>
      </c>
      <c r="M116" s="372"/>
      <c r="N116" s="10"/>
    </row>
    <row r="117" spans="2:14" ht="21.95" customHeight="1" x14ac:dyDescent="0.4">
      <c r="B117" s="439"/>
      <c r="C117" s="440"/>
      <c r="D117" s="339"/>
      <c r="E117" s="215">
        <f>E7/40-10</f>
        <v>29.475000000000001</v>
      </c>
      <c r="F117" s="216">
        <v>3</v>
      </c>
      <c r="G117" s="217">
        <f>G7/40-10</f>
        <v>26.825000000000003</v>
      </c>
      <c r="H117" s="218">
        <f>H7/40-10</f>
        <v>10.25</v>
      </c>
      <c r="I117" s="216">
        <v>3</v>
      </c>
      <c r="J117" s="217">
        <f>J7/40-10</f>
        <v>5.6</v>
      </c>
      <c r="K117" s="219">
        <f>K7/40-10</f>
        <v>4.2750000000000004</v>
      </c>
      <c r="L117" s="220">
        <f t="shared" si="14"/>
        <v>82.425000000000011</v>
      </c>
      <c r="M117" s="372"/>
      <c r="N117" s="10"/>
    </row>
    <row r="118" spans="2:14" ht="21.95" customHeight="1" x14ac:dyDescent="0.4">
      <c r="B118" s="439"/>
      <c r="C118" s="440"/>
      <c r="D118" s="341" t="s">
        <v>31</v>
      </c>
      <c r="E118" s="38">
        <v>12</v>
      </c>
      <c r="F118" s="39">
        <v>0</v>
      </c>
      <c r="G118" s="40">
        <v>325</v>
      </c>
      <c r="H118" s="41">
        <v>0</v>
      </c>
      <c r="I118" s="39">
        <v>0</v>
      </c>
      <c r="J118" s="40">
        <v>0</v>
      </c>
      <c r="K118" s="61">
        <v>0</v>
      </c>
      <c r="L118" s="82">
        <f t="shared" si="14"/>
        <v>337</v>
      </c>
      <c r="M118" s="372"/>
      <c r="N118" s="10"/>
    </row>
    <row r="119" spans="2:14" ht="21.95" customHeight="1" x14ac:dyDescent="0.4">
      <c r="B119" s="439"/>
      <c r="C119" s="440"/>
      <c r="D119" s="339"/>
      <c r="E119" s="215">
        <f>E7*3</f>
        <v>4737</v>
      </c>
      <c r="F119" s="216">
        <f>F7*3</f>
        <v>99</v>
      </c>
      <c r="G119" s="217">
        <f>G7*3</f>
        <v>4419</v>
      </c>
      <c r="H119" s="218">
        <f>H7*3</f>
        <v>2430</v>
      </c>
      <c r="I119" s="216">
        <f>20*3</f>
        <v>60</v>
      </c>
      <c r="J119" s="217">
        <f>J7*3</f>
        <v>1872</v>
      </c>
      <c r="K119" s="219">
        <f>K7*3</f>
        <v>1713</v>
      </c>
      <c r="L119" s="220">
        <f t="shared" si="14"/>
        <v>15330</v>
      </c>
      <c r="M119" s="372"/>
      <c r="N119" s="10"/>
    </row>
    <row r="120" spans="2:14" ht="21.95" customHeight="1" x14ac:dyDescent="0.4">
      <c r="B120" s="439"/>
      <c r="C120" s="440"/>
      <c r="D120" s="338" t="s">
        <v>91</v>
      </c>
      <c r="E120" s="90">
        <v>0</v>
      </c>
      <c r="F120" s="91">
        <v>0</v>
      </c>
      <c r="G120" s="92">
        <v>0</v>
      </c>
      <c r="H120" s="93">
        <v>0</v>
      </c>
      <c r="I120" s="91">
        <v>0</v>
      </c>
      <c r="J120" s="92">
        <v>0</v>
      </c>
      <c r="K120" s="94">
        <v>0</v>
      </c>
      <c r="L120" s="89"/>
      <c r="M120" s="389"/>
      <c r="N120" s="10"/>
    </row>
    <row r="121" spans="2:14" ht="21.95" customHeight="1" x14ac:dyDescent="0.4">
      <c r="B121" s="439"/>
      <c r="C121" s="440"/>
      <c r="D121" s="339"/>
      <c r="E121" s="215">
        <f>E9</f>
        <v>656</v>
      </c>
      <c r="F121" s="216">
        <f>F9</f>
        <v>15</v>
      </c>
      <c r="G121" s="217">
        <f>G9</f>
        <v>589</v>
      </c>
      <c r="H121" s="218">
        <f>H9</f>
        <v>307</v>
      </c>
      <c r="I121" s="216">
        <v>10</v>
      </c>
      <c r="J121" s="217">
        <f>J9</f>
        <v>240</v>
      </c>
      <c r="K121" s="219">
        <f>K9</f>
        <v>220</v>
      </c>
      <c r="L121" s="220">
        <f>SUM(E121:K121)</f>
        <v>2037</v>
      </c>
      <c r="M121" s="383"/>
      <c r="N121" s="10"/>
    </row>
    <row r="122" spans="2:14" ht="21.95" customHeight="1" x14ac:dyDescent="0.4">
      <c r="B122" s="439"/>
      <c r="C122" s="440"/>
      <c r="D122" s="342" t="s">
        <v>67</v>
      </c>
      <c r="E122" s="83">
        <v>0</v>
      </c>
      <c r="F122" s="84">
        <v>0</v>
      </c>
      <c r="G122" s="85">
        <v>0</v>
      </c>
      <c r="H122" s="86">
        <v>0</v>
      </c>
      <c r="I122" s="84">
        <v>0</v>
      </c>
      <c r="J122" s="85">
        <v>0</v>
      </c>
      <c r="K122" s="87">
        <v>0</v>
      </c>
      <c r="L122" s="88">
        <f t="shared" si="14"/>
        <v>0</v>
      </c>
      <c r="M122" s="372"/>
      <c r="N122" s="10"/>
    </row>
    <row r="123" spans="2:14" ht="21.95" customHeight="1" thickBot="1" x14ac:dyDescent="0.45">
      <c r="B123" s="441"/>
      <c r="C123" s="442"/>
      <c r="D123" s="343"/>
      <c r="E123" s="221">
        <f>E7*0.7</f>
        <v>1105.3</v>
      </c>
      <c r="F123" s="222">
        <f>F7*0.7</f>
        <v>23.099999999999998</v>
      </c>
      <c r="G123" s="223">
        <f>G7*0.7</f>
        <v>1031.0999999999999</v>
      </c>
      <c r="H123" s="224">
        <f>H7*0.7</f>
        <v>567</v>
      </c>
      <c r="I123" s="222">
        <f>20*0.7</f>
        <v>14</v>
      </c>
      <c r="J123" s="223">
        <f>J7*0.7</f>
        <v>436.79999999999995</v>
      </c>
      <c r="K123" s="225">
        <f>K7*0.7</f>
        <v>399.7</v>
      </c>
      <c r="L123" s="226">
        <f t="shared" si="14"/>
        <v>3577</v>
      </c>
      <c r="M123" s="384"/>
      <c r="N123" s="10"/>
    </row>
    <row r="124" spans="2:14" ht="21.95" customHeight="1" x14ac:dyDescent="0.4">
      <c r="B124" s="443" t="s">
        <v>125</v>
      </c>
      <c r="C124" s="444"/>
      <c r="D124" s="481" t="s">
        <v>51</v>
      </c>
      <c r="E124" s="240">
        <v>0</v>
      </c>
      <c r="F124" s="241">
        <v>0</v>
      </c>
      <c r="G124" s="242">
        <v>0</v>
      </c>
      <c r="H124" s="243">
        <v>0</v>
      </c>
      <c r="I124" s="241">
        <v>0</v>
      </c>
      <c r="J124" s="242">
        <v>0</v>
      </c>
      <c r="K124" s="244">
        <v>0</v>
      </c>
      <c r="L124" s="245">
        <f t="shared" si="14"/>
        <v>0</v>
      </c>
      <c r="M124" s="385" t="s">
        <v>130</v>
      </c>
    </row>
    <row r="125" spans="2:14" ht="21.95" customHeight="1" x14ac:dyDescent="0.4">
      <c r="B125" s="443"/>
      <c r="C125" s="444"/>
      <c r="D125" s="326"/>
      <c r="E125" s="251">
        <f>ROUNDUP(9*0.312*15*6/60,0)</f>
        <v>5</v>
      </c>
      <c r="F125" s="252">
        <v>0</v>
      </c>
      <c r="G125" s="253">
        <f>ROUNDUP(9*0.291*15*6/60,0)</f>
        <v>4</v>
      </c>
      <c r="H125" s="254">
        <f>ROUNDUP(9*0.16*15*6/60,0)</f>
        <v>3</v>
      </c>
      <c r="I125" s="252">
        <v>0</v>
      </c>
      <c r="J125" s="253">
        <f>ROUNDUP(9*0.123*15*6/60,0)</f>
        <v>2</v>
      </c>
      <c r="K125" s="255">
        <f>ROUNDUP(27*0.112*15*6/60,0)</f>
        <v>5</v>
      </c>
      <c r="L125" s="256">
        <f>SUM(E125:K125)</f>
        <v>19</v>
      </c>
      <c r="M125" s="381"/>
      <c r="N125" s="9"/>
    </row>
    <row r="126" spans="2:14" ht="21.95" customHeight="1" x14ac:dyDescent="0.4">
      <c r="B126" s="443"/>
      <c r="C126" s="444"/>
      <c r="D126" s="325" t="s">
        <v>50</v>
      </c>
      <c r="E126" s="240">
        <v>0</v>
      </c>
      <c r="F126" s="241">
        <v>0</v>
      </c>
      <c r="G126" s="242">
        <v>0</v>
      </c>
      <c r="H126" s="243">
        <v>0</v>
      </c>
      <c r="I126" s="241">
        <v>0</v>
      </c>
      <c r="J126" s="242">
        <v>0</v>
      </c>
      <c r="K126" s="244">
        <v>0</v>
      </c>
      <c r="L126" s="245">
        <f t="shared" si="14"/>
        <v>0</v>
      </c>
      <c r="M126" s="381" t="s">
        <v>131</v>
      </c>
    </row>
    <row r="127" spans="2:14" ht="21.95" customHeight="1" x14ac:dyDescent="0.4">
      <c r="B127" s="443"/>
      <c r="C127" s="444"/>
      <c r="D127" s="326"/>
      <c r="E127" s="251">
        <f>ROUNDUP(9*0.312*10*6/54,0)</f>
        <v>4</v>
      </c>
      <c r="F127" s="252">
        <v>0</v>
      </c>
      <c r="G127" s="253">
        <f>ROUNDUP(9*0.291*10*6/54,0)</f>
        <v>3</v>
      </c>
      <c r="H127" s="254">
        <f>ROUNDUP(9*0.16*10*6/54,0)</f>
        <v>2</v>
      </c>
      <c r="I127" s="252">
        <v>0</v>
      </c>
      <c r="J127" s="253">
        <f>ROUNDUP(9*0.123*10*6/54,0)</f>
        <v>2</v>
      </c>
      <c r="K127" s="255">
        <f>ROUNDUP(27*0.112*10*6/54,0)</f>
        <v>4</v>
      </c>
      <c r="L127" s="256">
        <f>SUM(E127:K127)</f>
        <v>15</v>
      </c>
      <c r="M127" s="381"/>
      <c r="N127" s="9"/>
    </row>
    <row r="128" spans="2:14" ht="21.95" customHeight="1" x14ac:dyDescent="0.4">
      <c r="B128" s="443"/>
      <c r="C128" s="444"/>
      <c r="D128" s="325" t="s">
        <v>52</v>
      </c>
      <c r="E128" s="240">
        <v>0</v>
      </c>
      <c r="F128" s="241">
        <v>0</v>
      </c>
      <c r="G128" s="242">
        <v>0</v>
      </c>
      <c r="H128" s="243">
        <v>0</v>
      </c>
      <c r="I128" s="241">
        <v>0</v>
      </c>
      <c r="J128" s="242">
        <v>0</v>
      </c>
      <c r="K128" s="244">
        <v>0</v>
      </c>
      <c r="L128" s="245">
        <f t="shared" si="14"/>
        <v>0</v>
      </c>
      <c r="M128" s="381" t="s">
        <v>131</v>
      </c>
    </row>
    <row r="129" spans="2:14" ht="21.95" customHeight="1" x14ac:dyDescent="0.4">
      <c r="B129" s="443"/>
      <c r="C129" s="444"/>
      <c r="D129" s="326"/>
      <c r="E129" s="251">
        <f>ROUNDUP(9*0.312*8*6/48,0)</f>
        <v>3</v>
      </c>
      <c r="F129" s="252">
        <v>0</v>
      </c>
      <c r="G129" s="253">
        <f>ROUNDUP(9*0.291*8*6/48,0)</f>
        <v>3</v>
      </c>
      <c r="H129" s="254">
        <f>ROUNDUP(9*0.16*8*6/48,0)</f>
        <v>2</v>
      </c>
      <c r="I129" s="252">
        <v>0</v>
      </c>
      <c r="J129" s="253">
        <f>ROUNDUP(9*0.123*8*6/48,0)</f>
        <v>2</v>
      </c>
      <c r="K129" s="255">
        <f>ROUNDUP(27*0.112*8*6/48,0)</f>
        <v>4</v>
      </c>
      <c r="L129" s="256">
        <f t="shared" si="14"/>
        <v>14</v>
      </c>
      <c r="M129" s="381"/>
      <c r="N129" s="9"/>
    </row>
    <row r="130" spans="2:14" ht="21.95" customHeight="1" x14ac:dyDescent="0.4">
      <c r="B130" s="443"/>
      <c r="C130" s="444"/>
      <c r="D130" s="325" t="s">
        <v>53</v>
      </c>
      <c r="E130" s="240">
        <v>0</v>
      </c>
      <c r="F130" s="241">
        <v>0</v>
      </c>
      <c r="G130" s="242">
        <v>0</v>
      </c>
      <c r="H130" s="243">
        <v>0</v>
      </c>
      <c r="I130" s="241">
        <v>0</v>
      </c>
      <c r="J130" s="242">
        <v>0</v>
      </c>
      <c r="K130" s="244">
        <v>0</v>
      </c>
      <c r="L130" s="245">
        <f t="shared" si="14"/>
        <v>0</v>
      </c>
      <c r="M130" s="381" t="s">
        <v>131</v>
      </c>
    </row>
    <row r="131" spans="2:14" ht="21.95" customHeight="1" x14ac:dyDescent="0.4">
      <c r="B131" s="443"/>
      <c r="C131" s="444"/>
      <c r="D131" s="326"/>
      <c r="E131" s="251">
        <f>ROUNDUP(9*0.312*6*6/32,0)</f>
        <v>4</v>
      </c>
      <c r="F131" s="252">
        <v>0</v>
      </c>
      <c r="G131" s="253">
        <f>ROUNDUP(9*0.291*6*6/32,0)</f>
        <v>3</v>
      </c>
      <c r="H131" s="254">
        <f>ROUNDUP(9*0.16*6*6/32,0)</f>
        <v>2</v>
      </c>
      <c r="I131" s="252">
        <v>0</v>
      </c>
      <c r="J131" s="253">
        <f>ROUNDUP(9*0.123*6*6/32,0)</f>
        <v>2</v>
      </c>
      <c r="K131" s="255">
        <f>ROUNDUP(9*0.112*10*6/32,0)</f>
        <v>2</v>
      </c>
      <c r="L131" s="256">
        <f t="shared" si="14"/>
        <v>13</v>
      </c>
      <c r="M131" s="381"/>
      <c r="N131" s="9"/>
    </row>
    <row r="132" spans="2:14" ht="21.95" customHeight="1" x14ac:dyDescent="0.4">
      <c r="B132" s="443"/>
      <c r="C132" s="444"/>
      <c r="D132" s="325" t="s">
        <v>54</v>
      </c>
      <c r="E132" s="240">
        <v>0</v>
      </c>
      <c r="F132" s="241">
        <v>0</v>
      </c>
      <c r="G132" s="242">
        <v>0</v>
      </c>
      <c r="H132" s="243">
        <v>0</v>
      </c>
      <c r="I132" s="241">
        <v>0</v>
      </c>
      <c r="J132" s="242">
        <v>0</v>
      </c>
      <c r="K132" s="244">
        <v>0</v>
      </c>
      <c r="L132" s="245">
        <f t="shared" si="14"/>
        <v>0</v>
      </c>
      <c r="M132" s="381" t="s">
        <v>131</v>
      </c>
    </row>
    <row r="133" spans="2:14" ht="21.95" customHeight="1" x14ac:dyDescent="0.4">
      <c r="B133" s="443"/>
      <c r="C133" s="444"/>
      <c r="D133" s="326"/>
      <c r="E133" s="251">
        <f>ROUNDUP(18*0.312*5*6/28,0)</f>
        <v>7</v>
      </c>
      <c r="F133" s="252">
        <v>0</v>
      </c>
      <c r="G133" s="253">
        <f>ROUNDUP(18*0.291*5*6/28,0)</f>
        <v>6</v>
      </c>
      <c r="H133" s="254">
        <f>ROUNDUP(18*0.16*5*6/28,0)</f>
        <v>4</v>
      </c>
      <c r="I133" s="252">
        <v>0</v>
      </c>
      <c r="J133" s="253">
        <f>ROUNDUP(18*0.123*5*6/28,0)</f>
        <v>3</v>
      </c>
      <c r="K133" s="255">
        <f>ROUNDUP(18*0.112*5*6/28,0)</f>
        <v>3</v>
      </c>
      <c r="L133" s="256">
        <f t="shared" si="14"/>
        <v>23</v>
      </c>
      <c r="M133" s="381"/>
      <c r="N133" s="9"/>
    </row>
    <row r="134" spans="2:14" ht="21.95" customHeight="1" x14ac:dyDescent="0.4">
      <c r="B134" s="443"/>
      <c r="C134" s="444"/>
      <c r="D134" s="325" t="s">
        <v>55</v>
      </c>
      <c r="E134" s="240">
        <v>0</v>
      </c>
      <c r="F134" s="241">
        <v>0</v>
      </c>
      <c r="G134" s="242">
        <v>0</v>
      </c>
      <c r="H134" s="243">
        <v>0</v>
      </c>
      <c r="I134" s="241">
        <v>0</v>
      </c>
      <c r="J134" s="242">
        <v>0</v>
      </c>
      <c r="K134" s="244">
        <v>0</v>
      </c>
      <c r="L134" s="245">
        <f t="shared" si="14"/>
        <v>0</v>
      </c>
      <c r="M134" s="381" t="s">
        <v>131</v>
      </c>
      <c r="N134" s="9"/>
    </row>
    <row r="135" spans="2:14" ht="21.95" customHeight="1" x14ac:dyDescent="0.4">
      <c r="B135" s="443"/>
      <c r="C135" s="444"/>
      <c r="D135" s="326"/>
      <c r="E135" s="251">
        <f>ROUNDUP(36*0.312*4*6/24,0)</f>
        <v>12</v>
      </c>
      <c r="F135" s="252">
        <v>0</v>
      </c>
      <c r="G135" s="253">
        <f>ROUNDUP(36*0.291*4*6/24,0)</f>
        <v>11</v>
      </c>
      <c r="H135" s="254">
        <f>ROUNDUP(36*0.16*4*6/24,0)</f>
        <v>6</v>
      </c>
      <c r="I135" s="252">
        <v>0</v>
      </c>
      <c r="J135" s="253">
        <f>ROUNDUP(36*0.123*4*6/24,0)</f>
        <v>5</v>
      </c>
      <c r="K135" s="255">
        <f>ROUNDUP(36*0.112*4*6/24,0)</f>
        <v>5</v>
      </c>
      <c r="L135" s="256">
        <f t="shared" si="14"/>
        <v>39</v>
      </c>
      <c r="M135" s="381"/>
      <c r="N135" s="9"/>
    </row>
    <row r="136" spans="2:14" ht="21.95" customHeight="1" x14ac:dyDescent="0.4">
      <c r="B136" s="443"/>
      <c r="C136" s="444"/>
      <c r="D136" s="435" t="s">
        <v>48</v>
      </c>
      <c r="E136" s="240">
        <v>0</v>
      </c>
      <c r="F136" s="241">
        <v>0</v>
      </c>
      <c r="G136" s="242">
        <v>0</v>
      </c>
      <c r="H136" s="243">
        <v>0</v>
      </c>
      <c r="I136" s="241">
        <v>0</v>
      </c>
      <c r="J136" s="242">
        <v>0</v>
      </c>
      <c r="K136" s="244">
        <v>0</v>
      </c>
      <c r="L136" s="245">
        <f t="shared" si="14"/>
        <v>0</v>
      </c>
      <c r="M136" s="381" t="s">
        <v>131</v>
      </c>
    </row>
    <row r="137" spans="2:14" ht="21.95" customHeight="1" thickBot="1" x14ac:dyDescent="0.45">
      <c r="B137" s="445"/>
      <c r="C137" s="446"/>
      <c r="D137" s="436"/>
      <c r="E137" s="257">
        <f>27*0.312*2*3</f>
        <v>50.543999999999997</v>
      </c>
      <c r="F137" s="258">
        <v>0</v>
      </c>
      <c r="G137" s="259">
        <f>27*0.291*2*3</f>
        <v>47.141999999999996</v>
      </c>
      <c r="H137" s="260">
        <f>27*0.16*2*3</f>
        <v>25.92</v>
      </c>
      <c r="I137" s="258">
        <v>0</v>
      </c>
      <c r="J137" s="259">
        <f>27*0.123*2*3</f>
        <v>19.925999999999998</v>
      </c>
      <c r="K137" s="261">
        <f>27*0.112*2*3</f>
        <v>18.143999999999998</v>
      </c>
      <c r="L137" s="262">
        <f t="shared" si="14"/>
        <v>161.67599999999999</v>
      </c>
      <c r="M137" s="382"/>
      <c r="N137" s="9"/>
    </row>
    <row r="138" spans="2:14" ht="21.95" customHeight="1" x14ac:dyDescent="0.4">
      <c r="B138" s="346" t="s">
        <v>11</v>
      </c>
      <c r="C138" s="347"/>
      <c r="D138" s="427" t="s">
        <v>56</v>
      </c>
      <c r="E138" s="83">
        <v>0</v>
      </c>
      <c r="F138" s="84">
        <v>0</v>
      </c>
      <c r="G138" s="85">
        <v>0</v>
      </c>
      <c r="H138" s="86">
        <v>0</v>
      </c>
      <c r="I138" s="84">
        <v>0</v>
      </c>
      <c r="J138" s="85">
        <v>0</v>
      </c>
      <c r="K138" s="87">
        <v>0</v>
      </c>
      <c r="L138" s="88">
        <f t="shared" si="14"/>
        <v>0</v>
      </c>
      <c r="M138" s="383"/>
    </row>
    <row r="139" spans="2:14" ht="21.95" customHeight="1" x14ac:dyDescent="0.4">
      <c r="B139" s="348"/>
      <c r="C139" s="349"/>
      <c r="D139" s="328"/>
      <c r="E139" s="203">
        <v>7</v>
      </c>
      <c r="F139" s="204">
        <v>1</v>
      </c>
      <c r="G139" s="205">
        <v>6</v>
      </c>
      <c r="H139" s="206">
        <v>5</v>
      </c>
      <c r="I139" s="204">
        <v>3</v>
      </c>
      <c r="J139" s="205">
        <v>2</v>
      </c>
      <c r="K139" s="207">
        <v>2</v>
      </c>
      <c r="L139" s="208">
        <f t="shared" si="14"/>
        <v>26</v>
      </c>
      <c r="M139" s="372"/>
      <c r="N139" s="9"/>
    </row>
    <row r="140" spans="2:14" ht="21.95" customHeight="1" x14ac:dyDescent="0.4">
      <c r="B140" s="348"/>
      <c r="C140" s="349"/>
      <c r="D140" s="327" t="s">
        <v>57</v>
      </c>
      <c r="E140" s="38">
        <v>0</v>
      </c>
      <c r="F140" s="39">
        <v>0</v>
      </c>
      <c r="G140" s="40">
        <v>0</v>
      </c>
      <c r="H140" s="41">
        <v>0</v>
      </c>
      <c r="I140" s="39">
        <v>0</v>
      </c>
      <c r="J140" s="40">
        <v>0</v>
      </c>
      <c r="K140" s="61">
        <v>0</v>
      </c>
      <c r="L140" s="82">
        <f t="shared" si="14"/>
        <v>0</v>
      </c>
      <c r="M140" s="372"/>
    </row>
    <row r="141" spans="2:14" ht="21.95" customHeight="1" x14ac:dyDescent="0.4">
      <c r="B141" s="348"/>
      <c r="C141" s="349"/>
      <c r="D141" s="328"/>
      <c r="E141" s="203">
        <v>17</v>
      </c>
      <c r="F141" s="204">
        <v>2</v>
      </c>
      <c r="G141" s="205">
        <v>16</v>
      </c>
      <c r="H141" s="206">
        <v>10</v>
      </c>
      <c r="I141" s="204">
        <v>3</v>
      </c>
      <c r="J141" s="205">
        <v>7</v>
      </c>
      <c r="K141" s="207">
        <v>6</v>
      </c>
      <c r="L141" s="208">
        <f t="shared" si="14"/>
        <v>61</v>
      </c>
      <c r="M141" s="372"/>
      <c r="N141" s="9"/>
    </row>
    <row r="142" spans="2:14" ht="21.95" customHeight="1" x14ac:dyDescent="0.4">
      <c r="B142" s="348"/>
      <c r="C142" s="349"/>
      <c r="D142" s="327" t="s">
        <v>58</v>
      </c>
      <c r="E142" s="38">
        <v>0</v>
      </c>
      <c r="F142" s="39">
        <v>0</v>
      </c>
      <c r="G142" s="40">
        <v>0</v>
      </c>
      <c r="H142" s="41">
        <v>0</v>
      </c>
      <c r="I142" s="39">
        <v>0</v>
      </c>
      <c r="J142" s="40">
        <v>0</v>
      </c>
      <c r="K142" s="61">
        <v>0</v>
      </c>
      <c r="L142" s="82">
        <f t="shared" si="14"/>
        <v>0</v>
      </c>
      <c r="M142" s="372"/>
    </row>
    <row r="143" spans="2:14" ht="21.95" customHeight="1" x14ac:dyDescent="0.4">
      <c r="B143" s="348"/>
      <c r="C143" s="349"/>
      <c r="D143" s="328"/>
      <c r="E143" s="203">
        <v>14</v>
      </c>
      <c r="F143" s="204">
        <v>2</v>
      </c>
      <c r="G143" s="205">
        <v>13</v>
      </c>
      <c r="H143" s="206">
        <v>8</v>
      </c>
      <c r="I143" s="204">
        <v>4</v>
      </c>
      <c r="J143" s="205">
        <v>6</v>
      </c>
      <c r="K143" s="207">
        <v>5</v>
      </c>
      <c r="L143" s="208">
        <f t="shared" si="14"/>
        <v>52</v>
      </c>
      <c r="M143" s="372"/>
      <c r="N143" s="9"/>
    </row>
    <row r="144" spans="2:14" ht="21.95" customHeight="1" x14ac:dyDescent="0.4">
      <c r="B144" s="348"/>
      <c r="C144" s="349"/>
      <c r="D144" s="327" t="s">
        <v>59</v>
      </c>
      <c r="E144" s="38">
        <v>0</v>
      </c>
      <c r="F144" s="39">
        <v>0</v>
      </c>
      <c r="G144" s="40">
        <v>0</v>
      </c>
      <c r="H144" s="41">
        <v>0</v>
      </c>
      <c r="I144" s="39">
        <v>0</v>
      </c>
      <c r="J144" s="40">
        <v>0</v>
      </c>
      <c r="K144" s="61">
        <v>0</v>
      </c>
      <c r="L144" s="82">
        <f t="shared" si="14"/>
        <v>0</v>
      </c>
      <c r="M144" s="372"/>
    </row>
    <row r="145" spans="2:15" ht="21.95" customHeight="1" x14ac:dyDescent="0.4">
      <c r="B145" s="348"/>
      <c r="C145" s="349"/>
      <c r="D145" s="328"/>
      <c r="E145" s="203">
        <v>10</v>
      </c>
      <c r="F145" s="204">
        <v>1</v>
      </c>
      <c r="G145" s="205">
        <v>9</v>
      </c>
      <c r="H145" s="206">
        <v>6</v>
      </c>
      <c r="I145" s="204">
        <v>3</v>
      </c>
      <c r="J145" s="205">
        <v>4</v>
      </c>
      <c r="K145" s="207">
        <v>4</v>
      </c>
      <c r="L145" s="208">
        <f t="shared" si="14"/>
        <v>37</v>
      </c>
      <c r="M145" s="372"/>
      <c r="N145" s="9"/>
    </row>
    <row r="146" spans="2:15" ht="21.95" customHeight="1" x14ac:dyDescent="0.4">
      <c r="B146" s="348"/>
      <c r="C146" s="349"/>
      <c r="D146" s="327" t="s">
        <v>60</v>
      </c>
      <c r="E146" s="38">
        <v>0</v>
      </c>
      <c r="F146" s="39">
        <v>0</v>
      </c>
      <c r="G146" s="40">
        <v>0</v>
      </c>
      <c r="H146" s="41">
        <v>0</v>
      </c>
      <c r="I146" s="39">
        <v>0</v>
      </c>
      <c r="J146" s="40">
        <v>0</v>
      </c>
      <c r="K146" s="61">
        <v>0</v>
      </c>
      <c r="L146" s="82">
        <f t="shared" si="14"/>
        <v>0</v>
      </c>
      <c r="M146" s="372"/>
      <c r="N146" s="9"/>
    </row>
    <row r="147" spans="2:15" ht="21.95" customHeight="1" x14ac:dyDescent="0.4">
      <c r="B147" s="348"/>
      <c r="C147" s="349"/>
      <c r="D147" s="328"/>
      <c r="E147" s="203">
        <v>8</v>
      </c>
      <c r="F147" s="204">
        <v>1</v>
      </c>
      <c r="G147" s="205">
        <v>7</v>
      </c>
      <c r="H147" s="206">
        <v>5</v>
      </c>
      <c r="I147" s="204">
        <v>3</v>
      </c>
      <c r="J147" s="205">
        <v>3</v>
      </c>
      <c r="K147" s="207">
        <v>3</v>
      </c>
      <c r="L147" s="208">
        <f t="shared" si="14"/>
        <v>30</v>
      </c>
      <c r="M147" s="372"/>
      <c r="N147" s="9"/>
    </row>
    <row r="148" spans="2:15" ht="21.95" customHeight="1" x14ac:dyDescent="0.4">
      <c r="B148" s="348"/>
      <c r="C148" s="349"/>
      <c r="D148" s="327" t="s">
        <v>61</v>
      </c>
      <c r="E148" s="38">
        <v>0</v>
      </c>
      <c r="F148" s="39">
        <v>0</v>
      </c>
      <c r="G148" s="40">
        <v>0</v>
      </c>
      <c r="H148" s="41">
        <v>0</v>
      </c>
      <c r="I148" s="39">
        <v>0</v>
      </c>
      <c r="J148" s="40">
        <v>0</v>
      </c>
      <c r="K148" s="61">
        <v>0</v>
      </c>
      <c r="L148" s="82">
        <f t="shared" si="14"/>
        <v>0</v>
      </c>
      <c r="M148" s="372"/>
    </row>
    <row r="149" spans="2:15" ht="21.95" customHeight="1" x14ac:dyDescent="0.4">
      <c r="B149" s="348"/>
      <c r="C149" s="349"/>
      <c r="D149" s="328"/>
      <c r="E149" s="203">
        <f>E7*0.2*0.5/60</f>
        <v>2.6316666666666668</v>
      </c>
      <c r="F149" s="204">
        <v>1</v>
      </c>
      <c r="G149" s="205">
        <f>G7*0.2*0.5/60</f>
        <v>2.4550000000000001</v>
      </c>
      <c r="H149" s="206">
        <f>H7*0.2*0.5/60</f>
        <v>1.35</v>
      </c>
      <c r="I149" s="204">
        <v>1</v>
      </c>
      <c r="J149" s="205">
        <f>J7*0.2*0.5/60</f>
        <v>1.04</v>
      </c>
      <c r="K149" s="207">
        <f>K7*0.2*0.5/60</f>
        <v>0.95166666666666666</v>
      </c>
      <c r="L149" s="208">
        <f t="shared" si="14"/>
        <v>10.428333333333333</v>
      </c>
      <c r="M149" s="372"/>
      <c r="N149" s="9"/>
    </row>
    <row r="150" spans="2:15" ht="21.95" customHeight="1" x14ac:dyDescent="0.4">
      <c r="B150" s="348"/>
      <c r="C150" s="349"/>
      <c r="D150" s="327" t="s">
        <v>151</v>
      </c>
      <c r="E150" s="56">
        <v>0</v>
      </c>
      <c r="F150" s="57">
        <v>0</v>
      </c>
      <c r="G150" s="58">
        <v>0</v>
      </c>
      <c r="H150" s="59">
        <v>0</v>
      </c>
      <c r="I150" s="57">
        <v>0</v>
      </c>
      <c r="J150" s="58">
        <v>0</v>
      </c>
      <c r="K150" s="60">
        <v>0</v>
      </c>
      <c r="L150" s="60">
        <f t="shared" si="14"/>
        <v>0</v>
      </c>
      <c r="M150" s="372"/>
    </row>
    <row r="151" spans="2:15" ht="21.95" customHeight="1" x14ac:dyDescent="0.4">
      <c r="B151" s="348"/>
      <c r="C151" s="349"/>
      <c r="D151" s="328"/>
      <c r="E151" s="203">
        <f>E7*0.2</f>
        <v>315.8</v>
      </c>
      <c r="F151" s="204">
        <f>F7*0.2</f>
        <v>6.6000000000000005</v>
      </c>
      <c r="G151" s="205">
        <f>G7*0.2</f>
        <v>294.60000000000002</v>
      </c>
      <c r="H151" s="206">
        <f>H7*0.2</f>
        <v>162</v>
      </c>
      <c r="I151" s="204">
        <v>5</v>
      </c>
      <c r="J151" s="205">
        <f>J7*0.2</f>
        <v>124.80000000000001</v>
      </c>
      <c r="K151" s="207">
        <f>K7*0.2</f>
        <v>114.2</v>
      </c>
      <c r="L151" s="207">
        <f t="shared" si="14"/>
        <v>1023</v>
      </c>
      <c r="M151" s="372"/>
      <c r="N151" s="9"/>
    </row>
    <row r="152" spans="2:15" ht="21.95" customHeight="1" x14ac:dyDescent="0.4">
      <c r="B152" s="348"/>
      <c r="C152" s="349"/>
      <c r="D152" s="427" t="s">
        <v>149</v>
      </c>
      <c r="E152" s="83">
        <v>0</v>
      </c>
      <c r="F152" s="84">
        <v>0</v>
      </c>
      <c r="G152" s="85">
        <v>1300</v>
      </c>
      <c r="H152" s="86">
        <v>0</v>
      </c>
      <c r="I152" s="84">
        <v>0</v>
      </c>
      <c r="J152" s="85">
        <v>0</v>
      </c>
      <c r="K152" s="87">
        <v>0</v>
      </c>
      <c r="L152" s="88">
        <f t="shared" ref="L152:L153" si="16">SUM(E152:K152)</f>
        <v>1300</v>
      </c>
      <c r="M152" s="383"/>
      <c r="N152" s="9"/>
    </row>
    <row r="153" spans="2:15" ht="21.95" customHeight="1" thickBot="1" x14ac:dyDescent="0.45">
      <c r="B153" s="350"/>
      <c r="C153" s="351"/>
      <c r="D153" s="428"/>
      <c r="E153" s="209">
        <v>0</v>
      </c>
      <c r="F153" s="210">
        <v>0</v>
      </c>
      <c r="G153" s="211">
        <v>1300</v>
      </c>
      <c r="H153" s="212">
        <v>0</v>
      </c>
      <c r="I153" s="210">
        <v>0</v>
      </c>
      <c r="J153" s="211">
        <v>0</v>
      </c>
      <c r="K153" s="213">
        <v>0</v>
      </c>
      <c r="L153" s="214">
        <f t="shared" si="16"/>
        <v>1300</v>
      </c>
      <c r="M153" s="384"/>
      <c r="N153" s="9"/>
    </row>
    <row r="154" spans="2:15" ht="21.95" customHeight="1" x14ac:dyDescent="0.4">
      <c r="B154" s="447" t="s">
        <v>126</v>
      </c>
      <c r="C154" s="448"/>
      <c r="D154" s="335" t="s">
        <v>77</v>
      </c>
      <c r="E154" s="83">
        <v>0</v>
      </c>
      <c r="F154" s="84">
        <v>0</v>
      </c>
      <c r="G154" s="85">
        <v>0</v>
      </c>
      <c r="H154" s="86">
        <v>0</v>
      </c>
      <c r="I154" s="84">
        <v>0</v>
      </c>
      <c r="J154" s="85">
        <v>0</v>
      </c>
      <c r="K154" s="87">
        <v>0</v>
      </c>
      <c r="L154" s="88">
        <f t="shared" si="14"/>
        <v>0</v>
      </c>
      <c r="M154" s="386" t="s">
        <v>95</v>
      </c>
    </row>
    <row r="155" spans="2:15" ht="21.95" customHeight="1" x14ac:dyDescent="0.4">
      <c r="B155" s="447"/>
      <c r="C155" s="448"/>
      <c r="D155" s="322"/>
      <c r="E155" s="191">
        <v>20</v>
      </c>
      <c r="F155" s="192">
        <v>1</v>
      </c>
      <c r="G155" s="193">
        <v>50</v>
      </c>
      <c r="H155" s="194">
        <v>10</v>
      </c>
      <c r="I155" s="192">
        <v>9</v>
      </c>
      <c r="J155" s="193">
        <v>9</v>
      </c>
      <c r="K155" s="195">
        <v>13</v>
      </c>
      <c r="L155" s="196">
        <f t="shared" si="14"/>
        <v>112</v>
      </c>
      <c r="M155" s="387"/>
      <c r="N155" s="9"/>
      <c r="O155" s="75"/>
    </row>
    <row r="156" spans="2:15" ht="21.95" customHeight="1" x14ac:dyDescent="0.4">
      <c r="B156" s="447"/>
      <c r="C156" s="448"/>
      <c r="D156" s="321" t="s">
        <v>78</v>
      </c>
      <c r="E156" s="38">
        <v>0</v>
      </c>
      <c r="F156" s="39">
        <v>0</v>
      </c>
      <c r="G156" s="40">
        <v>0</v>
      </c>
      <c r="H156" s="41">
        <v>0</v>
      </c>
      <c r="I156" s="39">
        <v>0</v>
      </c>
      <c r="J156" s="40">
        <v>0</v>
      </c>
      <c r="K156" s="61">
        <v>0</v>
      </c>
      <c r="L156" s="82">
        <f t="shared" si="14"/>
        <v>0</v>
      </c>
      <c r="M156" s="387"/>
      <c r="O156" s="75"/>
    </row>
    <row r="157" spans="2:15" ht="21.95" customHeight="1" x14ac:dyDescent="0.4">
      <c r="B157" s="447"/>
      <c r="C157" s="448"/>
      <c r="D157" s="322"/>
      <c r="E157" s="191">
        <v>72</v>
      </c>
      <c r="F157" s="192">
        <v>3</v>
      </c>
      <c r="G157" s="193">
        <v>100</v>
      </c>
      <c r="H157" s="194">
        <v>24</v>
      </c>
      <c r="I157" s="192">
        <v>18</v>
      </c>
      <c r="J157" s="193">
        <v>18</v>
      </c>
      <c r="K157" s="195">
        <v>25</v>
      </c>
      <c r="L157" s="196">
        <f t="shared" si="14"/>
        <v>260</v>
      </c>
      <c r="M157" s="387"/>
      <c r="N157" s="9"/>
      <c r="O157" s="75"/>
    </row>
    <row r="158" spans="2:15" ht="21.95" customHeight="1" x14ac:dyDescent="0.4">
      <c r="B158" s="447"/>
      <c r="C158" s="448"/>
      <c r="D158" s="321" t="s">
        <v>79</v>
      </c>
      <c r="E158" s="38">
        <v>0</v>
      </c>
      <c r="F158" s="39">
        <v>0</v>
      </c>
      <c r="G158" s="40">
        <v>0</v>
      </c>
      <c r="H158" s="41">
        <v>0</v>
      </c>
      <c r="I158" s="39">
        <v>0</v>
      </c>
      <c r="J158" s="40">
        <v>0</v>
      </c>
      <c r="K158" s="61">
        <v>0</v>
      </c>
      <c r="L158" s="82">
        <f t="shared" si="14"/>
        <v>0</v>
      </c>
      <c r="M158" s="387"/>
      <c r="O158" s="75"/>
    </row>
    <row r="159" spans="2:15" ht="21.95" customHeight="1" x14ac:dyDescent="0.4">
      <c r="B159" s="447"/>
      <c r="C159" s="448"/>
      <c r="D159" s="322"/>
      <c r="E159" s="191">
        <v>72</v>
      </c>
      <c r="F159" s="192">
        <v>3</v>
      </c>
      <c r="G159" s="193">
        <v>100</v>
      </c>
      <c r="H159" s="194">
        <v>24</v>
      </c>
      <c r="I159" s="192">
        <v>18</v>
      </c>
      <c r="J159" s="193">
        <v>18</v>
      </c>
      <c r="K159" s="195">
        <v>25</v>
      </c>
      <c r="L159" s="196">
        <f t="shared" ref="L159:L165" si="17">SUM(E159:K159)</f>
        <v>260</v>
      </c>
      <c r="M159" s="387"/>
      <c r="N159" s="9"/>
    </row>
    <row r="160" spans="2:15" ht="21.95" customHeight="1" x14ac:dyDescent="0.4">
      <c r="B160" s="447"/>
      <c r="C160" s="448"/>
      <c r="D160" s="321" t="s">
        <v>80</v>
      </c>
      <c r="E160" s="38">
        <v>0</v>
      </c>
      <c r="F160" s="39">
        <v>0</v>
      </c>
      <c r="G160" s="40">
        <v>0</v>
      </c>
      <c r="H160" s="41">
        <v>0</v>
      </c>
      <c r="I160" s="39">
        <v>0</v>
      </c>
      <c r="J160" s="40">
        <v>0</v>
      </c>
      <c r="K160" s="61">
        <v>0</v>
      </c>
      <c r="L160" s="82">
        <f t="shared" si="17"/>
        <v>0</v>
      </c>
      <c r="M160" s="387"/>
    </row>
    <row r="161" spans="2:14" ht="21.95" customHeight="1" x14ac:dyDescent="0.4">
      <c r="B161" s="447"/>
      <c r="C161" s="448"/>
      <c r="D161" s="322"/>
      <c r="E161" s="191">
        <v>20</v>
      </c>
      <c r="F161" s="192">
        <v>1</v>
      </c>
      <c r="G161" s="193">
        <v>50</v>
      </c>
      <c r="H161" s="194">
        <v>10</v>
      </c>
      <c r="I161" s="192">
        <v>9</v>
      </c>
      <c r="J161" s="193">
        <v>9</v>
      </c>
      <c r="K161" s="195">
        <v>13</v>
      </c>
      <c r="L161" s="196">
        <f t="shared" si="17"/>
        <v>112</v>
      </c>
      <c r="M161" s="387"/>
      <c r="N161" s="9"/>
    </row>
    <row r="162" spans="2:14" ht="21.95" customHeight="1" x14ac:dyDescent="0.4">
      <c r="B162" s="447"/>
      <c r="C162" s="448"/>
      <c r="D162" s="321" t="s">
        <v>81</v>
      </c>
      <c r="E162" s="56">
        <v>0</v>
      </c>
      <c r="F162" s="57">
        <v>0</v>
      </c>
      <c r="G162" s="58">
        <v>0</v>
      </c>
      <c r="H162" s="59">
        <v>0</v>
      </c>
      <c r="I162" s="57">
        <v>0</v>
      </c>
      <c r="J162" s="58">
        <v>0</v>
      </c>
      <c r="K162" s="60">
        <v>0</v>
      </c>
      <c r="L162" s="60">
        <f t="shared" ref="L162:L163" si="18">SUM(E162:K162)</f>
        <v>0</v>
      </c>
      <c r="M162" s="387"/>
      <c r="N162" s="9"/>
    </row>
    <row r="163" spans="2:14" ht="21.95" customHeight="1" x14ac:dyDescent="0.4">
      <c r="B163" s="447"/>
      <c r="C163" s="448"/>
      <c r="D163" s="322"/>
      <c r="E163" s="191">
        <v>30</v>
      </c>
      <c r="F163" s="192">
        <v>2</v>
      </c>
      <c r="G163" s="193">
        <v>50</v>
      </c>
      <c r="H163" s="194">
        <v>20</v>
      </c>
      <c r="I163" s="192">
        <v>15</v>
      </c>
      <c r="J163" s="193">
        <v>15</v>
      </c>
      <c r="K163" s="195">
        <v>20</v>
      </c>
      <c r="L163" s="195">
        <f t="shared" si="18"/>
        <v>152</v>
      </c>
      <c r="M163" s="387"/>
      <c r="N163" s="9"/>
    </row>
    <row r="164" spans="2:14" ht="21.95" customHeight="1" x14ac:dyDescent="0.4">
      <c r="B164" s="447"/>
      <c r="C164" s="448"/>
      <c r="D164" s="335" t="s">
        <v>150</v>
      </c>
      <c r="E164" s="83">
        <v>0</v>
      </c>
      <c r="F164" s="84">
        <v>0</v>
      </c>
      <c r="G164" s="85">
        <v>1300</v>
      </c>
      <c r="H164" s="86">
        <v>0</v>
      </c>
      <c r="I164" s="84">
        <v>0</v>
      </c>
      <c r="J164" s="85">
        <v>0</v>
      </c>
      <c r="K164" s="87">
        <v>0</v>
      </c>
      <c r="L164" s="88">
        <f t="shared" si="17"/>
        <v>1300</v>
      </c>
      <c r="M164" s="387"/>
    </row>
    <row r="165" spans="2:14" ht="21.95" customHeight="1" thickBot="1" x14ac:dyDescent="0.45">
      <c r="B165" s="449"/>
      <c r="C165" s="450"/>
      <c r="D165" s="426"/>
      <c r="E165" s="197">
        <v>0</v>
      </c>
      <c r="F165" s="198">
        <v>0</v>
      </c>
      <c r="G165" s="199">
        <v>1300</v>
      </c>
      <c r="H165" s="200">
        <v>0</v>
      </c>
      <c r="I165" s="198">
        <v>0</v>
      </c>
      <c r="J165" s="199">
        <v>0</v>
      </c>
      <c r="K165" s="201">
        <v>0</v>
      </c>
      <c r="L165" s="202">
        <f t="shared" si="17"/>
        <v>1300</v>
      </c>
      <c r="M165" s="388"/>
      <c r="N165" s="9"/>
    </row>
    <row r="166" spans="2:14" ht="24" x14ac:dyDescent="0.4">
      <c r="B166" s="1"/>
      <c r="C166" s="1"/>
      <c r="D166" s="1"/>
      <c r="E166" s="1"/>
      <c r="F166" s="1"/>
      <c r="G166" s="1"/>
      <c r="H166" s="1"/>
      <c r="I166" s="1"/>
      <c r="J166" s="1"/>
      <c r="K166" s="1"/>
      <c r="L166" s="1"/>
      <c r="M166" s="1"/>
    </row>
    <row r="167" spans="2:14" ht="24" x14ac:dyDescent="0.4">
      <c r="B167" s="1"/>
      <c r="C167" s="1"/>
      <c r="D167" s="1"/>
      <c r="E167" s="1"/>
      <c r="F167" s="1"/>
      <c r="G167" s="1"/>
      <c r="H167" s="1"/>
      <c r="I167" s="1"/>
      <c r="J167" s="1"/>
      <c r="K167" s="1"/>
      <c r="L167" s="1"/>
      <c r="M167" s="1"/>
    </row>
    <row r="168" spans="2:14" ht="24" x14ac:dyDescent="0.4">
      <c r="B168" s="1"/>
      <c r="C168" s="1"/>
      <c r="D168" s="1"/>
      <c r="E168" s="1"/>
      <c r="F168" s="1"/>
      <c r="G168" s="1"/>
      <c r="H168" s="1"/>
      <c r="I168" s="1"/>
      <c r="J168" s="1"/>
      <c r="K168" s="1"/>
      <c r="L168" s="1"/>
      <c r="M168" s="1"/>
    </row>
    <row r="169" spans="2:14" ht="24" x14ac:dyDescent="0.4">
      <c r="B169" s="1"/>
      <c r="C169" s="1"/>
      <c r="D169" s="1"/>
      <c r="E169" s="1"/>
      <c r="F169" s="1"/>
      <c r="G169" s="1"/>
      <c r="H169" s="1"/>
      <c r="I169" s="1"/>
      <c r="J169" s="1"/>
      <c r="K169" s="1"/>
      <c r="L169" s="1"/>
      <c r="M169" s="1"/>
    </row>
    <row r="170" spans="2:14" ht="24" x14ac:dyDescent="0.4">
      <c r="B170" s="1"/>
      <c r="C170" s="1"/>
      <c r="D170" s="1"/>
      <c r="E170" s="1"/>
      <c r="F170" s="1"/>
      <c r="G170" s="1"/>
      <c r="H170" s="1"/>
      <c r="I170" s="1"/>
      <c r="J170" s="1"/>
      <c r="K170" s="1"/>
      <c r="L170" s="1"/>
      <c r="M170" s="1"/>
    </row>
    <row r="171" spans="2:14" ht="24" x14ac:dyDescent="0.4">
      <c r="B171" s="1"/>
      <c r="C171" s="1"/>
      <c r="D171" s="1"/>
      <c r="E171" s="1"/>
      <c r="F171" s="1"/>
      <c r="G171" s="1"/>
      <c r="H171" s="1"/>
      <c r="I171" s="1"/>
      <c r="J171" s="1"/>
      <c r="K171" s="1"/>
      <c r="L171" s="1"/>
      <c r="M171" s="1"/>
    </row>
    <row r="172" spans="2:14" ht="24" x14ac:dyDescent="0.4">
      <c r="B172" s="1"/>
      <c r="C172" s="1"/>
      <c r="D172" s="1"/>
      <c r="E172" s="1"/>
      <c r="F172" s="1"/>
      <c r="G172" s="1"/>
      <c r="H172" s="1"/>
      <c r="I172" s="1"/>
      <c r="J172" s="1"/>
      <c r="K172" s="1"/>
      <c r="L172" s="1"/>
      <c r="M172" s="1"/>
    </row>
    <row r="173" spans="2:14" ht="24" x14ac:dyDescent="0.4">
      <c r="B173" s="1"/>
      <c r="C173" s="1"/>
      <c r="D173" s="1"/>
      <c r="E173" s="1"/>
      <c r="F173" s="1"/>
      <c r="G173" s="1"/>
      <c r="H173" s="1"/>
      <c r="I173" s="1"/>
      <c r="J173" s="1"/>
      <c r="K173" s="1"/>
      <c r="L173" s="1"/>
      <c r="M173" s="1"/>
    </row>
    <row r="174" spans="2:14" ht="24" x14ac:dyDescent="0.4">
      <c r="B174" s="1"/>
      <c r="C174" s="1"/>
      <c r="D174" s="1"/>
      <c r="E174" s="1"/>
      <c r="F174" s="1"/>
      <c r="G174" s="1"/>
      <c r="H174" s="1"/>
      <c r="I174" s="1"/>
      <c r="J174" s="1"/>
      <c r="K174" s="1"/>
      <c r="L174" s="1"/>
      <c r="M174" s="1"/>
    </row>
    <row r="175" spans="2:14" ht="24" x14ac:dyDescent="0.4">
      <c r="B175" s="1"/>
      <c r="C175" s="1"/>
      <c r="D175" s="1"/>
      <c r="E175" s="1"/>
      <c r="F175" s="1"/>
      <c r="G175" s="1"/>
      <c r="H175" s="1"/>
      <c r="I175" s="1"/>
      <c r="J175" s="1"/>
      <c r="K175" s="1"/>
      <c r="L175" s="1"/>
      <c r="M175" s="1"/>
    </row>
    <row r="176" spans="2:14" ht="24" x14ac:dyDescent="0.4">
      <c r="B176" s="1"/>
      <c r="C176" s="1"/>
      <c r="D176" s="1"/>
      <c r="E176" s="1"/>
      <c r="F176" s="1"/>
      <c r="G176" s="1"/>
      <c r="H176" s="1"/>
      <c r="I176" s="1"/>
      <c r="J176" s="1"/>
      <c r="K176" s="1"/>
      <c r="L176" s="1"/>
      <c r="M176" s="1"/>
    </row>
    <row r="177" spans="2:13" ht="24" x14ac:dyDescent="0.4">
      <c r="B177" s="1"/>
      <c r="C177" s="1"/>
      <c r="D177" s="1"/>
      <c r="E177" s="1"/>
      <c r="F177" s="1"/>
      <c r="G177" s="1"/>
      <c r="H177" s="1"/>
      <c r="I177" s="1"/>
      <c r="J177" s="1"/>
      <c r="K177" s="1"/>
      <c r="L177" s="1"/>
      <c r="M177" s="1"/>
    </row>
    <row r="178" spans="2:13" ht="24" x14ac:dyDescent="0.4">
      <c r="B178" s="1"/>
      <c r="C178" s="1"/>
      <c r="D178" s="1"/>
      <c r="E178" s="1"/>
      <c r="F178" s="1"/>
      <c r="G178" s="1"/>
      <c r="H178" s="1"/>
      <c r="I178" s="1"/>
      <c r="J178" s="1"/>
      <c r="K178" s="1"/>
      <c r="L178" s="1"/>
      <c r="M178" s="1"/>
    </row>
    <row r="179" spans="2:13" ht="24" x14ac:dyDescent="0.4">
      <c r="B179" s="1"/>
      <c r="C179" s="1"/>
      <c r="D179" s="1"/>
      <c r="E179" s="1"/>
      <c r="F179" s="1"/>
      <c r="G179" s="1"/>
      <c r="H179" s="1"/>
      <c r="I179" s="1"/>
      <c r="J179" s="1"/>
      <c r="K179" s="1"/>
      <c r="L179" s="1"/>
      <c r="M179" s="1"/>
    </row>
    <row r="180" spans="2:13" ht="24" x14ac:dyDescent="0.4">
      <c r="B180" s="1"/>
      <c r="C180" s="1"/>
      <c r="D180" s="1"/>
      <c r="E180" s="1"/>
      <c r="F180" s="1"/>
      <c r="G180" s="1"/>
      <c r="H180" s="1"/>
      <c r="I180" s="1"/>
      <c r="J180" s="1"/>
      <c r="K180" s="1"/>
      <c r="L180" s="1"/>
      <c r="M180" s="1"/>
    </row>
    <row r="181" spans="2:13" ht="24" x14ac:dyDescent="0.4">
      <c r="B181" s="1"/>
      <c r="C181" s="1"/>
      <c r="D181" s="1"/>
      <c r="E181" s="1"/>
      <c r="F181" s="1"/>
      <c r="G181" s="1"/>
      <c r="H181" s="1"/>
      <c r="I181" s="1"/>
      <c r="J181" s="1"/>
      <c r="K181" s="1"/>
      <c r="L181" s="1"/>
      <c r="M181" s="1"/>
    </row>
    <row r="182" spans="2:13" ht="24" x14ac:dyDescent="0.4">
      <c r="B182" s="1"/>
      <c r="C182" s="1"/>
      <c r="D182" s="1"/>
      <c r="E182" s="1"/>
      <c r="F182" s="1"/>
      <c r="G182" s="1"/>
      <c r="H182" s="1"/>
      <c r="I182" s="1"/>
      <c r="J182" s="1"/>
      <c r="K182" s="1"/>
      <c r="L182" s="1"/>
      <c r="M182" s="1"/>
    </row>
    <row r="183" spans="2:13" ht="24" x14ac:dyDescent="0.4">
      <c r="B183" s="1"/>
      <c r="C183" s="1"/>
      <c r="D183" s="1"/>
      <c r="E183" s="1"/>
      <c r="F183" s="1"/>
      <c r="G183" s="1"/>
      <c r="H183" s="1"/>
      <c r="I183" s="1"/>
      <c r="J183" s="1"/>
      <c r="K183" s="1"/>
      <c r="L183" s="1"/>
      <c r="M183" s="1"/>
    </row>
    <row r="184" spans="2:13" ht="24" x14ac:dyDescent="0.4">
      <c r="B184" s="1"/>
      <c r="C184" s="1"/>
      <c r="D184" s="1"/>
      <c r="E184" s="1"/>
      <c r="F184" s="1"/>
      <c r="G184" s="1"/>
      <c r="H184" s="1"/>
      <c r="I184" s="1"/>
      <c r="J184" s="1"/>
      <c r="K184" s="1"/>
      <c r="L184" s="1"/>
      <c r="M184" s="1"/>
    </row>
    <row r="185" spans="2:13" ht="24" x14ac:dyDescent="0.4">
      <c r="B185" s="1"/>
      <c r="C185" s="1"/>
      <c r="D185" s="1"/>
      <c r="E185" s="1"/>
      <c r="F185" s="1"/>
      <c r="G185" s="1"/>
      <c r="H185" s="1"/>
      <c r="I185" s="1"/>
      <c r="J185" s="1"/>
      <c r="K185" s="1"/>
      <c r="L185" s="1"/>
      <c r="M185" s="1"/>
    </row>
    <row r="186" spans="2:13" ht="24" x14ac:dyDescent="0.4">
      <c r="B186" s="1"/>
      <c r="C186" s="1"/>
      <c r="D186" s="1"/>
      <c r="E186" s="1"/>
      <c r="F186" s="1"/>
      <c r="G186" s="1"/>
      <c r="H186" s="1"/>
      <c r="I186" s="1"/>
      <c r="J186" s="1"/>
      <c r="K186" s="1"/>
      <c r="L186" s="1"/>
      <c r="M186" s="1"/>
    </row>
    <row r="187" spans="2:13" ht="24" x14ac:dyDescent="0.4">
      <c r="B187" s="1"/>
      <c r="C187" s="1"/>
      <c r="D187" s="1"/>
      <c r="E187" s="1"/>
      <c r="F187" s="1"/>
      <c r="G187" s="1"/>
      <c r="H187" s="1"/>
      <c r="I187" s="1"/>
      <c r="J187" s="1"/>
      <c r="K187" s="1"/>
      <c r="L187" s="1"/>
      <c r="M187" s="1"/>
    </row>
    <row r="188" spans="2:13" ht="24" x14ac:dyDescent="0.4">
      <c r="B188" s="1"/>
      <c r="C188" s="1"/>
      <c r="D188" s="1"/>
      <c r="E188" s="1"/>
      <c r="F188" s="1"/>
      <c r="G188" s="1"/>
      <c r="H188" s="1"/>
      <c r="I188" s="1"/>
      <c r="J188" s="1"/>
      <c r="K188" s="1"/>
      <c r="L188" s="1"/>
      <c r="M188" s="1"/>
    </row>
    <row r="189" spans="2:13" ht="24" x14ac:dyDescent="0.4">
      <c r="B189" s="1"/>
      <c r="C189" s="1"/>
      <c r="D189" s="1"/>
      <c r="E189" s="1"/>
      <c r="F189" s="1"/>
      <c r="G189" s="1"/>
      <c r="H189" s="1"/>
      <c r="I189" s="1"/>
      <c r="J189" s="1"/>
      <c r="K189" s="1"/>
      <c r="L189" s="1"/>
      <c r="M189" s="1"/>
    </row>
    <row r="190" spans="2:13" ht="24" x14ac:dyDescent="0.4">
      <c r="B190" s="1"/>
      <c r="C190" s="1"/>
      <c r="D190" s="1"/>
      <c r="E190" s="1"/>
      <c r="F190" s="1"/>
      <c r="G190" s="1"/>
      <c r="H190" s="1"/>
      <c r="I190" s="1"/>
      <c r="J190" s="1"/>
      <c r="K190" s="1"/>
      <c r="L190" s="1"/>
      <c r="M190" s="1"/>
    </row>
    <row r="191" spans="2:13" ht="24" x14ac:dyDescent="0.4">
      <c r="B191" s="1"/>
      <c r="C191" s="1"/>
      <c r="D191" s="1"/>
      <c r="E191" s="1"/>
      <c r="F191" s="1"/>
      <c r="G191" s="1"/>
      <c r="H191" s="1"/>
      <c r="I191" s="1"/>
      <c r="J191" s="1"/>
      <c r="K191" s="1"/>
      <c r="L191" s="1"/>
      <c r="M191" s="1"/>
    </row>
    <row r="192" spans="2:13" ht="24" x14ac:dyDescent="0.4">
      <c r="B192" s="1"/>
      <c r="C192" s="1"/>
      <c r="D192" s="1"/>
      <c r="E192" s="1"/>
      <c r="F192" s="1"/>
      <c r="G192" s="1"/>
      <c r="H192" s="1"/>
      <c r="I192" s="1"/>
      <c r="J192" s="1"/>
      <c r="K192" s="1"/>
      <c r="L192" s="1"/>
      <c r="M192" s="1"/>
    </row>
    <row r="193" spans="2:13" ht="24" x14ac:dyDescent="0.4">
      <c r="B193" s="1"/>
      <c r="C193" s="1"/>
      <c r="D193" s="1"/>
      <c r="E193" s="1"/>
      <c r="F193" s="1"/>
      <c r="G193" s="1"/>
      <c r="H193" s="1"/>
      <c r="I193" s="1"/>
      <c r="J193" s="1"/>
      <c r="K193" s="1"/>
      <c r="L193" s="1"/>
      <c r="M193" s="1"/>
    </row>
    <row r="194" spans="2:13" ht="24" x14ac:dyDescent="0.4">
      <c r="B194" s="1"/>
      <c r="C194" s="1"/>
      <c r="D194" s="1"/>
      <c r="E194" s="1"/>
      <c r="F194" s="1"/>
      <c r="G194" s="1"/>
      <c r="H194" s="1"/>
      <c r="I194" s="1"/>
      <c r="J194" s="1"/>
      <c r="K194" s="1"/>
      <c r="L194" s="1"/>
      <c r="M194" s="1"/>
    </row>
    <row r="195" spans="2:13" ht="24" x14ac:dyDescent="0.4">
      <c r="B195" s="1"/>
      <c r="C195" s="1"/>
      <c r="D195" s="1"/>
      <c r="E195" s="1"/>
      <c r="F195" s="1"/>
      <c r="G195" s="1"/>
      <c r="H195" s="1"/>
      <c r="I195" s="1"/>
      <c r="J195" s="1"/>
      <c r="K195" s="1"/>
      <c r="L195" s="1"/>
      <c r="M195" s="1"/>
    </row>
    <row r="196" spans="2:13" ht="24" x14ac:dyDescent="0.4">
      <c r="B196" s="1"/>
      <c r="C196" s="1"/>
      <c r="D196" s="1"/>
      <c r="E196" s="1"/>
      <c r="F196" s="1"/>
      <c r="G196" s="1"/>
      <c r="H196" s="1"/>
      <c r="I196" s="1"/>
      <c r="J196" s="1"/>
      <c r="K196" s="1"/>
      <c r="L196" s="1"/>
      <c r="M196" s="1"/>
    </row>
    <row r="197" spans="2:13" ht="24" x14ac:dyDescent="0.4">
      <c r="B197" s="1"/>
      <c r="C197" s="1"/>
      <c r="D197" s="1"/>
      <c r="E197" s="1"/>
      <c r="F197" s="1"/>
      <c r="G197" s="1"/>
      <c r="H197" s="1"/>
      <c r="I197" s="1"/>
      <c r="J197" s="1"/>
      <c r="K197" s="1"/>
      <c r="L197" s="1"/>
      <c r="M197" s="1"/>
    </row>
    <row r="198" spans="2:13" ht="24" x14ac:dyDescent="0.4">
      <c r="B198" s="1"/>
      <c r="C198" s="1"/>
      <c r="D198" s="1"/>
      <c r="E198" s="1"/>
      <c r="F198" s="1"/>
      <c r="G198" s="1"/>
      <c r="H198" s="1"/>
      <c r="I198" s="1"/>
      <c r="J198" s="1"/>
      <c r="K198" s="1"/>
      <c r="L198" s="1"/>
      <c r="M198" s="1"/>
    </row>
    <row r="199" spans="2:13" ht="24" x14ac:dyDescent="0.4">
      <c r="B199" s="1"/>
      <c r="C199" s="1"/>
      <c r="D199" s="1"/>
      <c r="E199" s="1"/>
      <c r="F199" s="1"/>
      <c r="G199" s="1"/>
      <c r="H199" s="1"/>
      <c r="I199" s="1"/>
      <c r="J199" s="1"/>
      <c r="K199" s="1"/>
      <c r="L199" s="1"/>
      <c r="M199" s="1"/>
    </row>
    <row r="200" spans="2:13" ht="24" x14ac:dyDescent="0.4">
      <c r="B200" s="1"/>
      <c r="C200" s="1"/>
      <c r="D200" s="1"/>
      <c r="E200" s="1"/>
      <c r="F200" s="1"/>
      <c r="G200" s="1"/>
      <c r="H200" s="1"/>
      <c r="I200" s="1"/>
      <c r="J200" s="1"/>
      <c r="K200" s="1"/>
      <c r="L200" s="1"/>
      <c r="M200" s="1"/>
    </row>
    <row r="201" spans="2:13" ht="24" x14ac:dyDescent="0.4">
      <c r="B201" s="1"/>
      <c r="C201" s="1"/>
      <c r="D201" s="1"/>
      <c r="E201" s="1"/>
      <c r="F201" s="1"/>
      <c r="G201" s="1"/>
      <c r="H201" s="1"/>
      <c r="I201" s="1"/>
      <c r="J201" s="1"/>
      <c r="K201" s="1"/>
      <c r="L201" s="1"/>
      <c r="M201" s="1"/>
    </row>
    <row r="202" spans="2:13" ht="24" x14ac:dyDescent="0.4">
      <c r="B202" s="1"/>
      <c r="C202" s="1"/>
      <c r="D202" s="1"/>
      <c r="E202" s="1"/>
      <c r="F202" s="1"/>
      <c r="G202" s="1"/>
      <c r="H202" s="1"/>
      <c r="I202" s="1"/>
      <c r="J202" s="1"/>
      <c r="K202" s="1"/>
      <c r="L202" s="1"/>
      <c r="M202" s="1"/>
    </row>
    <row r="203" spans="2:13" ht="24" x14ac:dyDescent="0.4">
      <c r="B203" s="1"/>
      <c r="C203" s="1"/>
      <c r="D203" s="1"/>
      <c r="E203" s="1"/>
      <c r="F203" s="1"/>
      <c r="G203" s="1"/>
      <c r="H203" s="1"/>
      <c r="I203" s="1"/>
      <c r="J203" s="1"/>
      <c r="K203" s="1"/>
      <c r="L203" s="1"/>
      <c r="M203" s="1"/>
    </row>
    <row r="204" spans="2:13" ht="24" x14ac:dyDescent="0.4">
      <c r="B204" s="1"/>
      <c r="C204" s="1"/>
      <c r="D204" s="1"/>
      <c r="E204" s="1"/>
      <c r="F204" s="1"/>
      <c r="G204" s="1"/>
      <c r="H204" s="1"/>
      <c r="I204" s="1"/>
      <c r="J204" s="1"/>
      <c r="K204" s="1"/>
      <c r="L204" s="1"/>
      <c r="M204" s="1"/>
    </row>
    <row r="205" spans="2:13" ht="24" x14ac:dyDescent="0.4">
      <c r="B205" s="1"/>
      <c r="C205" s="1"/>
      <c r="D205" s="1"/>
      <c r="E205" s="1"/>
      <c r="F205" s="1"/>
      <c r="G205" s="1"/>
      <c r="H205" s="1"/>
      <c r="I205" s="1"/>
      <c r="J205" s="1"/>
      <c r="K205" s="1"/>
      <c r="L205" s="1"/>
      <c r="M205" s="1"/>
    </row>
    <row r="206" spans="2:13" ht="24" x14ac:dyDescent="0.4">
      <c r="B206" s="1"/>
      <c r="C206" s="1"/>
      <c r="D206" s="1"/>
      <c r="E206" s="1"/>
      <c r="F206" s="1"/>
      <c r="G206" s="1"/>
      <c r="H206" s="1"/>
      <c r="I206" s="1"/>
      <c r="J206" s="1"/>
      <c r="K206" s="1"/>
      <c r="L206" s="1"/>
      <c r="M206" s="1"/>
    </row>
    <row r="207" spans="2:13" ht="24" x14ac:dyDescent="0.4">
      <c r="B207" s="1"/>
      <c r="C207" s="1"/>
      <c r="D207" s="1"/>
      <c r="E207" s="1"/>
      <c r="F207" s="1"/>
      <c r="G207" s="1"/>
      <c r="H207" s="1"/>
      <c r="I207" s="1"/>
      <c r="J207" s="1"/>
      <c r="K207" s="1"/>
      <c r="L207" s="1"/>
      <c r="M207" s="1"/>
    </row>
    <row r="208" spans="2:13" ht="24" x14ac:dyDescent="0.4">
      <c r="B208" s="1"/>
      <c r="C208" s="1"/>
      <c r="D208" s="1"/>
      <c r="E208" s="1"/>
      <c r="F208" s="1"/>
      <c r="G208" s="1"/>
      <c r="H208" s="1"/>
      <c r="I208" s="1"/>
      <c r="J208" s="1"/>
      <c r="K208" s="1"/>
      <c r="L208" s="1"/>
      <c r="M208" s="1"/>
    </row>
    <row r="209" spans="2:13" ht="24" x14ac:dyDescent="0.4">
      <c r="B209" s="1"/>
      <c r="C209" s="1"/>
      <c r="D209" s="1"/>
      <c r="E209" s="1"/>
      <c r="F209" s="1"/>
      <c r="G209" s="1"/>
      <c r="H209" s="1"/>
      <c r="I209" s="1"/>
      <c r="J209" s="1"/>
      <c r="K209" s="1"/>
      <c r="L209" s="1"/>
      <c r="M209" s="1"/>
    </row>
    <row r="210" spans="2:13" ht="24" x14ac:dyDescent="0.4">
      <c r="B210" s="1"/>
      <c r="C210" s="1"/>
      <c r="D210" s="1"/>
      <c r="E210" s="1"/>
      <c r="F210" s="1"/>
      <c r="G210" s="1"/>
      <c r="H210" s="1"/>
      <c r="I210" s="1"/>
      <c r="J210" s="1"/>
      <c r="K210" s="1"/>
      <c r="L210" s="1"/>
      <c r="M210" s="1"/>
    </row>
    <row r="211" spans="2:13" ht="24" x14ac:dyDescent="0.4">
      <c r="B211" s="1"/>
      <c r="C211" s="1"/>
      <c r="D211" s="1"/>
      <c r="E211" s="1"/>
      <c r="F211" s="1"/>
      <c r="G211" s="1"/>
      <c r="H211" s="1"/>
      <c r="I211" s="1"/>
      <c r="J211" s="1"/>
      <c r="K211" s="1"/>
      <c r="L211" s="1"/>
      <c r="M211" s="1"/>
    </row>
    <row r="212" spans="2:13" ht="24" x14ac:dyDescent="0.4">
      <c r="B212" s="1"/>
      <c r="C212" s="1"/>
      <c r="D212" s="1"/>
      <c r="E212" s="1"/>
      <c r="F212" s="1"/>
      <c r="G212" s="1"/>
      <c r="H212" s="1"/>
      <c r="I212" s="1"/>
      <c r="J212" s="1"/>
      <c r="K212" s="1"/>
      <c r="L212" s="1"/>
      <c r="M212" s="1"/>
    </row>
    <row r="213" spans="2:13" ht="24" x14ac:dyDescent="0.4">
      <c r="B213" s="1"/>
      <c r="C213" s="1"/>
      <c r="D213" s="1"/>
      <c r="E213" s="1"/>
      <c r="F213" s="1"/>
      <c r="G213" s="1"/>
      <c r="H213" s="1"/>
      <c r="I213" s="1"/>
      <c r="J213" s="1"/>
      <c r="K213" s="1"/>
      <c r="L213" s="1"/>
      <c r="M213" s="1"/>
    </row>
    <row r="214" spans="2:13" ht="24" x14ac:dyDescent="0.4">
      <c r="B214" s="1"/>
      <c r="C214" s="1"/>
      <c r="D214" s="1"/>
      <c r="E214" s="1"/>
      <c r="F214" s="1"/>
      <c r="G214" s="1"/>
      <c r="H214" s="1"/>
      <c r="I214" s="1"/>
      <c r="J214" s="1"/>
      <c r="K214" s="1"/>
      <c r="L214" s="1"/>
      <c r="M214" s="1"/>
    </row>
    <row r="215" spans="2:13" ht="24" x14ac:dyDescent="0.4">
      <c r="B215" s="1"/>
      <c r="C215" s="1"/>
      <c r="D215" s="1"/>
      <c r="E215" s="1"/>
      <c r="F215" s="1"/>
      <c r="G215" s="1"/>
      <c r="H215" s="1"/>
      <c r="I215" s="1"/>
      <c r="J215" s="1"/>
      <c r="K215" s="1"/>
      <c r="L215" s="1"/>
      <c r="M215" s="1"/>
    </row>
    <row r="216" spans="2:13" ht="24" x14ac:dyDescent="0.4">
      <c r="B216" s="1"/>
      <c r="C216" s="1"/>
      <c r="D216" s="1"/>
      <c r="E216" s="1"/>
      <c r="F216" s="1"/>
      <c r="G216" s="1"/>
      <c r="H216" s="1"/>
      <c r="I216" s="1"/>
      <c r="J216" s="1"/>
      <c r="K216" s="1"/>
      <c r="L216" s="1"/>
      <c r="M216" s="1"/>
    </row>
    <row r="217" spans="2:13" ht="24" x14ac:dyDescent="0.4">
      <c r="B217" s="1"/>
      <c r="C217" s="1"/>
      <c r="D217" s="1"/>
      <c r="E217" s="1"/>
      <c r="F217" s="1"/>
      <c r="G217" s="1"/>
      <c r="H217" s="1"/>
      <c r="I217" s="1"/>
      <c r="J217" s="1"/>
      <c r="K217" s="1"/>
      <c r="L217" s="1"/>
      <c r="M217" s="1"/>
    </row>
    <row r="218" spans="2:13" ht="24" x14ac:dyDescent="0.4">
      <c r="B218" s="1"/>
      <c r="C218" s="1"/>
      <c r="D218" s="1"/>
      <c r="E218" s="1"/>
      <c r="F218" s="1"/>
      <c r="G218" s="1"/>
      <c r="H218" s="1"/>
      <c r="I218" s="1"/>
      <c r="J218" s="1"/>
      <c r="K218" s="1"/>
      <c r="L218" s="1"/>
      <c r="M218" s="1"/>
    </row>
    <row r="219" spans="2:13" ht="24" x14ac:dyDescent="0.4">
      <c r="B219" s="1"/>
      <c r="C219" s="1"/>
      <c r="D219" s="1"/>
      <c r="E219" s="1"/>
      <c r="F219" s="1"/>
      <c r="G219" s="1"/>
      <c r="H219" s="1"/>
      <c r="I219" s="1"/>
      <c r="J219" s="1"/>
      <c r="K219" s="1"/>
      <c r="L219" s="1"/>
      <c r="M219" s="1"/>
    </row>
    <row r="220" spans="2:13" ht="24" x14ac:dyDescent="0.4">
      <c r="B220" s="1"/>
      <c r="C220" s="1"/>
      <c r="D220" s="1"/>
      <c r="E220" s="1"/>
      <c r="F220" s="1"/>
      <c r="G220" s="1"/>
      <c r="H220" s="1"/>
      <c r="I220" s="1"/>
      <c r="J220" s="1"/>
      <c r="K220" s="1"/>
      <c r="L220" s="1"/>
      <c r="M220" s="1"/>
    </row>
    <row r="221" spans="2:13" ht="24" x14ac:dyDescent="0.4">
      <c r="B221" s="1"/>
      <c r="C221" s="1"/>
      <c r="D221" s="1"/>
      <c r="E221" s="1"/>
      <c r="F221" s="1"/>
      <c r="G221" s="1"/>
      <c r="H221" s="1"/>
      <c r="I221" s="1"/>
      <c r="J221" s="1"/>
      <c r="K221" s="1"/>
      <c r="L221" s="1"/>
      <c r="M221" s="1"/>
    </row>
    <row r="222" spans="2:13" ht="24" x14ac:dyDescent="0.4">
      <c r="B222" s="1"/>
      <c r="C222" s="1"/>
      <c r="D222" s="1"/>
      <c r="E222" s="1"/>
      <c r="F222" s="1"/>
      <c r="G222" s="1"/>
      <c r="H222" s="1"/>
      <c r="I222" s="1"/>
      <c r="J222" s="1"/>
      <c r="K222" s="1"/>
      <c r="L222" s="1"/>
      <c r="M222" s="1"/>
    </row>
    <row r="223" spans="2:13" ht="24" x14ac:dyDescent="0.4">
      <c r="B223" s="1"/>
      <c r="C223" s="1"/>
      <c r="D223" s="1"/>
      <c r="E223" s="1"/>
      <c r="F223" s="1"/>
      <c r="G223" s="1"/>
      <c r="H223" s="1"/>
      <c r="I223" s="1"/>
      <c r="J223" s="1"/>
      <c r="K223" s="1"/>
      <c r="L223" s="1"/>
      <c r="M223" s="1"/>
    </row>
    <row r="224" spans="2:13" ht="24" x14ac:dyDescent="0.4">
      <c r="B224" s="1"/>
      <c r="C224" s="1"/>
      <c r="D224" s="1"/>
      <c r="E224" s="1"/>
      <c r="F224" s="1"/>
      <c r="G224" s="1"/>
      <c r="H224" s="1"/>
      <c r="I224" s="1"/>
      <c r="J224" s="1"/>
      <c r="K224" s="1"/>
      <c r="L224" s="1"/>
      <c r="M224" s="1"/>
    </row>
    <row r="225" spans="2:13" ht="24" x14ac:dyDescent="0.4">
      <c r="B225" s="1"/>
      <c r="C225" s="1"/>
      <c r="D225" s="1"/>
      <c r="E225" s="1"/>
      <c r="F225" s="1"/>
      <c r="G225" s="1"/>
      <c r="H225" s="1"/>
      <c r="I225" s="1"/>
      <c r="J225" s="1"/>
      <c r="K225" s="1"/>
      <c r="L225" s="1"/>
      <c r="M225" s="1"/>
    </row>
    <row r="226" spans="2:13" ht="24" x14ac:dyDescent="0.4">
      <c r="B226" s="1"/>
      <c r="C226" s="1"/>
      <c r="D226" s="1"/>
      <c r="E226" s="1"/>
      <c r="F226" s="1"/>
      <c r="G226" s="1"/>
      <c r="H226" s="1"/>
      <c r="I226" s="1"/>
      <c r="J226" s="1"/>
      <c r="K226" s="1"/>
      <c r="L226" s="1"/>
      <c r="M226" s="1"/>
    </row>
    <row r="227" spans="2:13" ht="24" x14ac:dyDescent="0.4">
      <c r="B227" s="1"/>
      <c r="C227" s="1"/>
      <c r="D227" s="1"/>
      <c r="E227" s="1"/>
      <c r="F227" s="1"/>
      <c r="G227" s="1"/>
      <c r="H227" s="1"/>
      <c r="I227" s="1"/>
      <c r="J227" s="1"/>
      <c r="K227" s="1"/>
      <c r="L227" s="1"/>
      <c r="M227" s="1"/>
    </row>
    <row r="228" spans="2:13" ht="24" x14ac:dyDescent="0.4">
      <c r="B228" s="1"/>
      <c r="C228" s="1"/>
      <c r="D228" s="1"/>
      <c r="E228" s="1"/>
      <c r="F228" s="1"/>
      <c r="G228" s="1"/>
      <c r="H228" s="1"/>
      <c r="I228" s="1"/>
      <c r="J228" s="1"/>
      <c r="K228" s="1"/>
      <c r="L228" s="1"/>
      <c r="M228" s="1"/>
    </row>
    <row r="229" spans="2:13" ht="24" x14ac:dyDescent="0.4">
      <c r="B229" s="1"/>
      <c r="C229" s="1"/>
      <c r="D229" s="1"/>
      <c r="E229" s="1"/>
      <c r="F229" s="1"/>
      <c r="G229" s="1"/>
      <c r="H229" s="1"/>
      <c r="I229" s="1"/>
      <c r="J229" s="1"/>
      <c r="K229" s="1"/>
      <c r="L229" s="1"/>
      <c r="M229" s="1"/>
    </row>
    <row r="230" spans="2:13" ht="24" x14ac:dyDescent="0.4">
      <c r="B230" s="1"/>
      <c r="C230" s="1"/>
      <c r="D230" s="1"/>
      <c r="E230" s="1"/>
      <c r="F230" s="1"/>
      <c r="G230" s="1"/>
      <c r="H230" s="1"/>
      <c r="I230" s="1"/>
      <c r="J230" s="1"/>
      <c r="K230" s="1"/>
      <c r="L230" s="1"/>
      <c r="M230" s="1"/>
    </row>
    <row r="231" spans="2:13" ht="24" x14ac:dyDescent="0.4">
      <c r="B231" s="1"/>
      <c r="C231" s="1"/>
      <c r="D231" s="1"/>
      <c r="E231" s="1"/>
      <c r="F231" s="1"/>
      <c r="G231" s="1"/>
      <c r="H231" s="1"/>
      <c r="I231" s="1"/>
      <c r="J231" s="1"/>
      <c r="K231" s="1"/>
      <c r="L231" s="1"/>
      <c r="M231" s="1"/>
    </row>
    <row r="232" spans="2:13" ht="24" x14ac:dyDescent="0.4">
      <c r="B232" s="1"/>
      <c r="C232" s="1"/>
      <c r="D232" s="1"/>
      <c r="E232" s="1"/>
      <c r="F232" s="1"/>
      <c r="G232" s="1"/>
      <c r="H232" s="1"/>
      <c r="I232" s="1"/>
      <c r="J232" s="1"/>
      <c r="K232" s="1"/>
      <c r="L232" s="1"/>
      <c r="M232" s="1"/>
    </row>
    <row r="233" spans="2:13" ht="24" x14ac:dyDescent="0.4">
      <c r="B233" s="1"/>
      <c r="C233" s="1"/>
      <c r="D233" s="1"/>
      <c r="E233" s="1"/>
      <c r="F233" s="1"/>
      <c r="G233" s="1"/>
      <c r="H233" s="1"/>
      <c r="I233" s="1"/>
      <c r="J233" s="1"/>
      <c r="K233" s="1"/>
      <c r="L233" s="1"/>
      <c r="M233" s="1"/>
    </row>
    <row r="234" spans="2:13" ht="24" x14ac:dyDescent="0.4">
      <c r="B234" s="1"/>
      <c r="C234" s="1"/>
      <c r="D234" s="1"/>
      <c r="E234" s="1"/>
      <c r="F234" s="1"/>
      <c r="G234" s="1"/>
      <c r="H234" s="1"/>
      <c r="I234" s="1"/>
      <c r="J234" s="1"/>
      <c r="K234" s="1"/>
      <c r="L234" s="1"/>
      <c r="M234" s="1"/>
    </row>
    <row r="235" spans="2:13" ht="24" x14ac:dyDescent="0.4">
      <c r="B235" s="1"/>
      <c r="C235" s="1"/>
      <c r="D235" s="1"/>
      <c r="E235" s="1"/>
      <c r="F235" s="1"/>
      <c r="G235" s="1"/>
      <c r="H235" s="1"/>
      <c r="I235" s="1"/>
      <c r="J235" s="1"/>
      <c r="K235" s="1"/>
      <c r="L235" s="1"/>
      <c r="M235" s="1"/>
    </row>
    <row r="236" spans="2:13" ht="24" x14ac:dyDescent="0.4">
      <c r="B236" s="1"/>
      <c r="C236" s="1"/>
      <c r="D236" s="1"/>
      <c r="E236" s="1"/>
      <c r="F236" s="1"/>
      <c r="G236" s="1"/>
      <c r="H236" s="1"/>
      <c r="I236" s="1"/>
      <c r="J236" s="1"/>
      <c r="K236" s="1"/>
      <c r="L236" s="1"/>
      <c r="M236" s="1"/>
    </row>
    <row r="237" spans="2:13" ht="24" x14ac:dyDescent="0.4">
      <c r="B237" s="1"/>
      <c r="C237" s="1"/>
      <c r="D237" s="1"/>
      <c r="E237" s="1"/>
      <c r="F237" s="1"/>
      <c r="G237" s="1"/>
      <c r="H237" s="1"/>
      <c r="I237" s="1"/>
      <c r="J237" s="1"/>
      <c r="K237" s="1"/>
      <c r="L237" s="1"/>
      <c r="M237" s="1"/>
    </row>
    <row r="238" spans="2:13" ht="24" x14ac:dyDescent="0.4">
      <c r="B238" s="1"/>
      <c r="C238" s="1"/>
      <c r="D238" s="1"/>
      <c r="E238" s="1"/>
      <c r="F238" s="1"/>
      <c r="G238" s="1"/>
      <c r="H238" s="1"/>
      <c r="I238" s="1"/>
      <c r="J238" s="1"/>
      <c r="K238" s="1"/>
      <c r="L238" s="1"/>
      <c r="M238" s="1"/>
    </row>
    <row r="239" spans="2:13" ht="24" x14ac:dyDescent="0.4">
      <c r="B239" s="1"/>
      <c r="C239" s="1"/>
      <c r="D239" s="1"/>
      <c r="E239" s="1"/>
      <c r="F239" s="1"/>
      <c r="G239" s="1"/>
      <c r="H239" s="1"/>
      <c r="I239" s="1"/>
      <c r="J239" s="1"/>
      <c r="K239" s="1"/>
      <c r="L239" s="1"/>
      <c r="M239" s="1"/>
    </row>
    <row r="240" spans="2:13" ht="24" x14ac:dyDescent="0.4">
      <c r="B240" s="1"/>
      <c r="C240" s="1"/>
      <c r="D240" s="1"/>
      <c r="E240" s="1"/>
      <c r="F240" s="1"/>
      <c r="G240" s="1"/>
      <c r="H240" s="1"/>
      <c r="I240" s="1"/>
      <c r="J240" s="1"/>
      <c r="K240" s="1"/>
      <c r="L240" s="1"/>
      <c r="M240" s="1"/>
    </row>
    <row r="241" spans="2:13" ht="24" x14ac:dyDescent="0.4">
      <c r="B241" s="1"/>
      <c r="C241" s="1"/>
      <c r="D241" s="1"/>
      <c r="E241" s="1"/>
      <c r="F241" s="1"/>
      <c r="G241" s="1"/>
      <c r="H241" s="1"/>
      <c r="I241" s="1"/>
      <c r="J241" s="1"/>
      <c r="K241" s="1"/>
      <c r="L241" s="1"/>
      <c r="M241" s="1"/>
    </row>
    <row r="242" spans="2:13" ht="24" x14ac:dyDescent="0.4">
      <c r="B242" s="1"/>
      <c r="C242" s="1"/>
      <c r="D242" s="1"/>
      <c r="E242" s="1"/>
      <c r="F242" s="1"/>
      <c r="G242" s="1"/>
      <c r="H242" s="1"/>
      <c r="I242" s="1"/>
      <c r="J242" s="1"/>
      <c r="K242" s="1"/>
      <c r="L242" s="1"/>
      <c r="M242" s="1"/>
    </row>
    <row r="243" spans="2:13" ht="24" x14ac:dyDescent="0.4">
      <c r="B243" s="1"/>
      <c r="C243" s="1"/>
      <c r="D243" s="1"/>
      <c r="E243" s="1"/>
      <c r="F243" s="1"/>
      <c r="G243" s="1"/>
      <c r="H243" s="1"/>
      <c r="I243" s="1"/>
      <c r="J243" s="1"/>
      <c r="K243" s="1"/>
      <c r="L243" s="1"/>
      <c r="M243" s="1"/>
    </row>
    <row r="244" spans="2:13" ht="24" x14ac:dyDescent="0.4">
      <c r="B244" s="1"/>
      <c r="C244" s="1"/>
      <c r="D244" s="1"/>
      <c r="E244" s="1"/>
      <c r="F244" s="1"/>
      <c r="G244" s="1"/>
      <c r="H244" s="1"/>
      <c r="I244" s="1"/>
      <c r="J244" s="1"/>
      <c r="K244" s="1"/>
      <c r="L244" s="1"/>
      <c r="M244" s="1"/>
    </row>
    <row r="245" spans="2:13" ht="24" x14ac:dyDescent="0.4">
      <c r="B245" s="1"/>
      <c r="C245" s="1"/>
      <c r="D245" s="1"/>
      <c r="E245" s="1"/>
      <c r="F245" s="1"/>
      <c r="G245" s="1"/>
      <c r="H245" s="1"/>
      <c r="I245" s="1"/>
      <c r="J245" s="1"/>
      <c r="K245" s="1"/>
      <c r="L245" s="1"/>
      <c r="M245" s="1"/>
    </row>
    <row r="246" spans="2:13" ht="24" x14ac:dyDescent="0.4">
      <c r="B246" s="1"/>
      <c r="C246" s="1"/>
      <c r="D246" s="1"/>
      <c r="E246" s="1"/>
      <c r="F246" s="1"/>
      <c r="G246" s="1"/>
      <c r="H246" s="1"/>
      <c r="I246" s="1"/>
      <c r="J246" s="1"/>
      <c r="K246" s="1"/>
      <c r="L246" s="1"/>
      <c r="M246" s="1"/>
    </row>
    <row r="247" spans="2:13" ht="24" x14ac:dyDescent="0.4">
      <c r="B247" s="1"/>
      <c r="C247" s="1"/>
      <c r="D247" s="1"/>
      <c r="E247" s="1"/>
      <c r="F247" s="1"/>
      <c r="G247" s="1"/>
      <c r="H247" s="1"/>
      <c r="I247" s="1"/>
      <c r="J247" s="1"/>
      <c r="K247" s="1"/>
      <c r="L247" s="1"/>
      <c r="M247" s="1"/>
    </row>
    <row r="248" spans="2:13" ht="24" x14ac:dyDescent="0.4">
      <c r="B248" s="1"/>
      <c r="C248" s="1"/>
      <c r="D248" s="1"/>
      <c r="E248" s="1"/>
      <c r="F248" s="1"/>
      <c r="G248" s="1"/>
      <c r="H248" s="1"/>
      <c r="I248" s="1"/>
      <c r="J248" s="1"/>
      <c r="K248" s="1"/>
      <c r="L248" s="1"/>
      <c r="M248" s="1"/>
    </row>
    <row r="249" spans="2:13" ht="24" x14ac:dyDescent="0.4">
      <c r="B249" s="1"/>
      <c r="C249" s="1"/>
      <c r="D249" s="1"/>
      <c r="E249" s="1"/>
      <c r="F249" s="1"/>
      <c r="G249" s="1"/>
      <c r="H249" s="1"/>
      <c r="I249" s="1"/>
      <c r="J249" s="1"/>
      <c r="K249" s="1"/>
      <c r="L249" s="1"/>
      <c r="M249" s="1"/>
    </row>
    <row r="250" spans="2:13" ht="24" x14ac:dyDescent="0.4">
      <c r="B250" s="1"/>
      <c r="C250" s="1"/>
      <c r="D250" s="1"/>
      <c r="E250" s="1"/>
      <c r="F250" s="1"/>
      <c r="G250" s="1"/>
      <c r="H250" s="1"/>
      <c r="I250" s="1"/>
      <c r="J250" s="1"/>
      <c r="K250" s="1"/>
      <c r="L250" s="1"/>
      <c r="M250" s="1"/>
    </row>
    <row r="251" spans="2:13" ht="24" x14ac:dyDescent="0.4">
      <c r="B251" s="1"/>
      <c r="C251" s="1"/>
      <c r="D251" s="1"/>
      <c r="E251" s="1"/>
      <c r="F251" s="1"/>
      <c r="G251" s="1"/>
      <c r="H251" s="1"/>
      <c r="I251" s="1"/>
      <c r="J251" s="1"/>
      <c r="K251" s="1"/>
      <c r="L251" s="1"/>
      <c r="M251" s="1"/>
    </row>
    <row r="252" spans="2:13" ht="24" x14ac:dyDescent="0.4">
      <c r="B252" s="1"/>
      <c r="C252" s="1"/>
      <c r="D252" s="1"/>
      <c r="E252" s="1"/>
      <c r="F252" s="1"/>
      <c r="G252" s="1"/>
      <c r="H252" s="1"/>
      <c r="I252" s="1"/>
      <c r="J252" s="1"/>
      <c r="K252" s="1"/>
      <c r="L252" s="1"/>
      <c r="M252" s="1"/>
    </row>
    <row r="253" spans="2:13" ht="24" x14ac:dyDescent="0.4">
      <c r="B253" s="1"/>
      <c r="C253" s="1"/>
      <c r="D253" s="1"/>
      <c r="E253" s="1"/>
      <c r="F253" s="1"/>
      <c r="G253" s="1"/>
      <c r="H253" s="1"/>
      <c r="I253" s="1"/>
      <c r="J253" s="1"/>
      <c r="K253" s="1"/>
      <c r="L253" s="1"/>
      <c r="M253" s="1"/>
    </row>
    <row r="254" spans="2:13" ht="24" x14ac:dyDescent="0.4">
      <c r="B254" s="1"/>
      <c r="C254" s="1"/>
      <c r="D254" s="1"/>
      <c r="E254" s="1"/>
      <c r="F254" s="1"/>
      <c r="G254" s="1"/>
      <c r="H254" s="1"/>
      <c r="I254" s="1"/>
      <c r="J254" s="1"/>
      <c r="K254" s="1"/>
      <c r="L254" s="1"/>
      <c r="M254" s="1"/>
    </row>
    <row r="255" spans="2:13" ht="24" x14ac:dyDescent="0.4">
      <c r="B255" s="1"/>
      <c r="C255" s="1"/>
      <c r="D255" s="1"/>
      <c r="E255" s="1"/>
      <c r="F255" s="1"/>
      <c r="G255" s="1"/>
      <c r="H255" s="1"/>
      <c r="I255" s="1"/>
      <c r="J255" s="1"/>
      <c r="K255" s="1"/>
      <c r="L255" s="1"/>
      <c r="M255" s="1"/>
    </row>
    <row r="256" spans="2:13" ht="24" x14ac:dyDescent="0.4">
      <c r="B256" s="1"/>
      <c r="C256" s="1"/>
      <c r="D256" s="1"/>
      <c r="E256" s="1"/>
      <c r="F256" s="1"/>
      <c r="G256" s="1"/>
      <c r="H256" s="1"/>
      <c r="I256" s="1"/>
      <c r="J256" s="1"/>
      <c r="K256" s="1"/>
      <c r="L256" s="1"/>
      <c r="M256" s="1"/>
    </row>
    <row r="257" spans="2:13" ht="24" x14ac:dyDescent="0.4">
      <c r="B257" s="1"/>
      <c r="C257" s="1"/>
      <c r="D257" s="1"/>
      <c r="E257" s="1"/>
      <c r="F257" s="1"/>
      <c r="G257" s="1"/>
      <c r="H257" s="1"/>
      <c r="I257" s="1"/>
      <c r="J257" s="1"/>
      <c r="K257" s="1"/>
      <c r="L257" s="1"/>
      <c r="M257" s="1"/>
    </row>
    <row r="258" spans="2:13" ht="24" x14ac:dyDescent="0.4">
      <c r="B258" s="1"/>
      <c r="C258" s="1"/>
      <c r="D258" s="1"/>
      <c r="E258" s="1"/>
      <c r="F258" s="1"/>
      <c r="G258" s="1"/>
      <c r="H258" s="1"/>
      <c r="I258" s="1"/>
      <c r="J258" s="1"/>
      <c r="K258" s="1"/>
      <c r="L258" s="1"/>
      <c r="M258" s="1"/>
    </row>
    <row r="259" spans="2:13" ht="24" x14ac:dyDescent="0.4">
      <c r="B259" s="1"/>
      <c r="C259" s="1"/>
      <c r="D259" s="1"/>
      <c r="E259" s="1"/>
      <c r="F259" s="1"/>
      <c r="G259" s="1"/>
      <c r="H259" s="1"/>
      <c r="I259" s="1"/>
      <c r="J259" s="1"/>
      <c r="K259" s="1"/>
      <c r="L259" s="1"/>
      <c r="M259" s="1"/>
    </row>
    <row r="260" spans="2:13" ht="24" x14ac:dyDescent="0.4">
      <c r="B260" s="1"/>
      <c r="C260" s="1"/>
      <c r="D260" s="1"/>
      <c r="E260" s="1"/>
      <c r="F260" s="1"/>
      <c r="G260" s="1"/>
      <c r="H260" s="1"/>
      <c r="I260" s="1"/>
      <c r="J260" s="1"/>
      <c r="K260" s="1"/>
      <c r="L260" s="1"/>
      <c r="M260" s="1"/>
    </row>
    <row r="261" spans="2:13" ht="24" x14ac:dyDescent="0.4">
      <c r="B261" s="1"/>
      <c r="C261" s="1"/>
      <c r="D261" s="1"/>
      <c r="E261" s="1"/>
      <c r="F261" s="1"/>
      <c r="G261" s="1"/>
      <c r="H261" s="1"/>
      <c r="I261" s="1"/>
      <c r="J261" s="1"/>
      <c r="K261" s="1"/>
      <c r="L261" s="1"/>
      <c r="M261" s="1"/>
    </row>
    <row r="262" spans="2:13" ht="24" x14ac:dyDescent="0.4">
      <c r="B262" s="1"/>
      <c r="C262" s="1"/>
      <c r="D262" s="1"/>
      <c r="E262" s="1"/>
      <c r="F262" s="1"/>
      <c r="G262" s="1"/>
      <c r="H262" s="1"/>
      <c r="I262" s="1"/>
      <c r="J262" s="1"/>
      <c r="K262" s="1"/>
      <c r="L262" s="1"/>
      <c r="M262" s="1"/>
    </row>
    <row r="263" spans="2:13" ht="24" x14ac:dyDescent="0.4">
      <c r="B263" s="1"/>
      <c r="C263" s="1"/>
      <c r="D263" s="1"/>
      <c r="E263" s="1"/>
      <c r="F263" s="1"/>
      <c r="G263" s="1"/>
      <c r="H263" s="1"/>
      <c r="I263" s="1"/>
      <c r="J263" s="1"/>
      <c r="K263" s="1"/>
      <c r="L263" s="1"/>
      <c r="M263" s="1"/>
    </row>
    <row r="264" spans="2:13" ht="24" x14ac:dyDescent="0.4">
      <c r="B264" s="1"/>
      <c r="C264" s="1"/>
      <c r="D264" s="1"/>
      <c r="E264" s="1"/>
      <c r="F264" s="1"/>
      <c r="G264" s="1"/>
      <c r="H264" s="1"/>
      <c r="I264" s="1"/>
      <c r="J264" s="1"/>
      <c r="K264" s="1"/>
      <c r="L264" s="1"/>
      <c r="M264" s="1"/>
    </row>
    <row r="265" spans="2:13" ht="24" x14ac:dyDescent="0.4">
      <c r="B265" s="1"/>
      <c r="C265" s="1"/>
      <c r="D265" s="1"/>
      <c r="E265" s="1"/>
      <c r="F265" s="1"/>
      <c r="G265" s="1"/>
      <c r="H265" s="1"/>
      <c r="I265" s="1"/>
      <c r="J265" s="1"/>
      <c r="K265" s="1"/>
      <c r="L265" s="1"/>
      <c r="M265" s="1"/>
    </row>
    <row r="266" spans="2:13" ht="24" x14ac:dyDescent="0.4">
      <c r="B266" s="1"/>
      <c r="C266" s="1"/>
      <c r="D266" s="1"/>
      <c r="E266" s="1"/>
      <c r="F266" s="1"/>
      <c r="G266" s="1"/>
      <c r="H266" s="1"/>
      <c r="I266" s="1"/>
      <c r="J266" s="1"/>
      <c r="K266" s="1"/>
      <c r="L266" s="1"/>
      <c r="M266" s="1"/>
    </row>
    <row r="267" spans="2:13" ht="24" x14ac:dyDescent="0.4">
      <c r="B267" s="1"/>
      <c r="C267" s="1"/>
      <c r="D267" s="1"/>
      <c r="E267" s="1"/>
      <c r="F267" s="1"/>
      <c r="G267" s="1"/>
      <c r="H267" s="1"/>
      <c r="I267" s="1"/>
      <c r="J267" s="1"/>
      <c r="K267" s="1"/>
      <c r="L267" s="1"/>
      <c r="M267" s="1"/>
    </row>
    <row r="268" spans="2:13" ht="24" x14ac:dyDescent="0.4">
      <c r="B268" s="1"/>
      <c r="C268" s="1"/>
      <c r="D268" s="1"/>
      <c r="E268" s="1"/>
      <c r="F268" s="1"/>
      <c r="G268" s="1"/>
      <c r="H268" s="1"/>
      <c r="I268" s="1"/>
      <c r="J268" s="1"/>
      <c r="K268" s="1"/>
      <c r="L268" s="1"/>
      <c r="M268" s="1"/>
    </row>
    <row r="269" spans="2:13" ht="24" x14ac:dyDescent="0.4">
      <c r="B269" s="1"/>
      <c r="C269" s="1"/>
      <c r="D269" s="1"/>
      <c r="E269" s="1"/>
      <c r="F269" s="1"/>
      <c r="G269" s="1"/>
      <c r="H269" s="1"/>
      <c r="I269" s="1"/>
      <c r="J269" s="1"/>
      <c r="K269" s="1"/>
      <c r="L269" s="1"/>
      <c r="M269" s="1"/>
    </row>
    <row r="270" spans="2:13" ht="24" x14ac:dyDescent="0.4">
      <c r="B270" s="1"/>
      <c r="C270" s="1"/>
      <c r="D270" s="1"/>
      <c r="E270" s="1"/>
      <c r="F270" s="1"/>
      <c r="G270" s="1"/>
      <c r="H270" s="1"/>
      <c r="I270" s="1"/>
      <c r="J270" s="1"/>
      <c r="K270" s="1"/>
      <c r="L270" s="1"/>
      <c r="M270" s="1"/>
    </row>
    <row r="271" spans="2:13" ht="24" x14ac:dyDescent="0.4">
      <c r="B271" s="1"/>
      <c r="C271" s="1"/>
      <c r="D271" s="1"/>
      <c r="E271" s="1"/>
      <c r="F271" s="1"/>
      <c r="G271" s="1"/>
      <c r="H271" s="1"/>
      <c r="I271" s="1"/>
      <c r="J271" s="1"/>
      <c r="K271" s="1"/>
      <c r="L271" s="1"/>
      <c r="M271" s="1"/>
    </row>
    <row r="272" spans="2:13" ht="24" x14ac:dyDescent="0.4">
      <c r="B272" s="1"/>
      <c r="C272" s="1"/>
      <c r="D272" s="1"/>
      <c r="E272" s="1"/>
      <c r="F272" s="1"/>
      <c r="G272" s="1"/>
      <c r="H272" s="1"/>
      <c r="I272" s="1"/>
      <c r="J272" s="1"/>
      <c r="K272" s="1"/>
      <c r="L272" s="1"/>
      <c r="M272" s="1"/>
    </row>
    <row r="273" spans="2:13" ht="24" x14ac:dyDescent="0.4">
      <c r="B273" s="1"/>
      <c r="C273" s="1"/>
      <c r="D273" s="1"/>
      <c r="E273" s="1"/>
      <c r="F273" s="1"/>
      <c r="G273" s="1"/>
      <c r="H273" s="1"/>
      <c r="I273" s="1"/>
      <c r="J273" s="1"/>
      <c r="K273" s="1"/>
      <c r="L273" s="1"/>
      <c r="M273" s="1"/>
    </row>
    <row r="274" spans="2:13" ht="24" x14ac:dyDescent="0.4">
      <c r="B274" s="1"/>
      <c r="C274" s="1"/>
      <c r="D274" s="1"/>
      <c r="E274" s="1"/>
      <c r="F274" s="1"/>
      <c r="G274" s="1"/>
      <c r="H274" s="1"/>
      <c r="I274" s="1"/>
      <c r="J274" s="1"/>
      <c r="K274" s="1"/>
      <c r="L274" s="1"/>
      <c r="M274" s="1"/>
    </row>
    <row r="275" spans="2:13" ht="24" x14ac:dyDescent="0.4">
      <c r="B275" s="1"/>
      <c r="C275" s="1"/>
      <c r="D275" s="1"/>
      <c r="E275" s="1"/>
      <c r="F275" s="1"/>
      <c r="G275" s="1"/>
      <c r="H275" s="1"/>
      <c r="I275" s="1"/>
      <c r="J275" s="1"/>
      <c r="K275" s="1"/>
      <c r="L275" s="1"/>
      <c r="M275" s="1"/>
    </row>
    <row r="276" spans="2:13" ht="24" x14ac:dyDescent="0.4">
      <c r="B276" s="1"/>
      <c r="C276" s="1"/>
      <c r="D276" s="1"/>
      <c r="E276" s="1"/>
      <c r="F276" s="1"/>
      <c r="G276" s="1"/>
      <c r="H276" s="1"/>
      <c r="I276" s="1"/>
      <c r="J276" s="1"/>
      <c r="K276" s="1"/>
      <c r="L276" s="1"/>
      <c r="M276" s="1"/>
    </row>
    <row r="277" spans="2:13" ht="24" x14ac:dyDescent="0.4">
      <c r="B277" s="1"/>
      <c r="C277" s="1"/>
      <c r="D277" s="1"/>
      <c r="E277" s="1"/>
      <c r="F277" s="1"/>
      <c r="G277" s="1"/>
      <c r="H277" s="1"/>
      <c r="I277" s="1"/>
      <c r="J277" s="1"/>
      <c r="K277" s="1"/>
      <c r="L277" s="1"/>
      <c r="M277" s="1"/>
    </row>
    <row r="278" spans="2:13" ht="24" x14ac:dyDescent="0.4">
      <c r="B278" s="1"/>
      <c r="C278" s="1"/>
      <c r="D278" s="1"/>
      <c r="E278" s="1"/>
      <c r="F278" s="1"/>
      <c r="G278" s="1"/>
      <c r="H278" s="1"/>
      <c r="I278" s="1"/>
      <c r="J278" s="1"/>
      <c r="K278" s="1"/>
      <c r="L278" s="1"/>
      <c r="M278" s="1"/>
    </row>
    <row r="279" spans="2:13" ht="24" x14ac:dyDescent="0.4">
      <c r="B279" s="1"/>
      <c r="C279" s="1"/>
      <c r="D279" s="1"/>
      <c r="E279" s="1"/>
      <c r="F279" s="1"/>
      <c r="G279" s="1"/>
      <c r="H279" s="1"/>
      <c r="I279" s="1"/>
      <c r="J279" s="1"/>
      <c r="K279" s="1"/>
      <c r="L279" s="1"/>
      <c r="M279" s="1"/>
    </row>
    <row r="280" spans="2:13" ht="24" x14ac:dyDescent="0.4">
      <c r="B280" s="1"/>
      <c r="C280" s="1"/>
      <c r="D280" s="1"/>
      <c r="E280" s="1"/>
      <c r="F280" s="1"/>
      <c r="G280" s="1"/>
      <c r="H280" s="1"/>
      <c r="I280" s="1"/>
      <c r="J280" s="1"/>
      <c r="K280" s="1"/>
      <c r="L280" s="1"/>
      <c r="M280" s="1"/>
    </row>
    <row r="281" spans="2:13" ht="24" x14ac:dyDescent="0.4">
      <c r="B281" s="1"/>
      <c r="C281" s="1"/>
      <c r="D281" s="1"/>
      <c r="E281" s="1"/>
      <c r="F281" s="1"/>
      <c r="G281" s="1"/>
      <c r="H281" s="1"/>
      <c r="I281" s="1"/>
      <c r="J281" s="1"/>
      <c r="K281" s="1"/>
      <c r="L281" s="1"/>
      <c r="M281" s="1"/>
    </row>
    <row r="282" spans="2:13" ht="24" x14ac:dyDescent="0.4">
      <c r="B282" s="1"/>
      <c r="C282" s="1"/>
      <c r="D282" s="1"/>
      <c r="E282" s="1"/>
      <c r="F282" s="1"/>
      <c r="G282" s="1"/>
      <c r="H282" s="1"/>
      <c r="I282" s="1"/>
      <c r="J282" s="1"/>
      <c r="K282" s="1"/>
      <c r="L282" s="1"/>
      <c r="M282" s="1"/>
    </row>
    <row r="283" spans="2:13" ht="24" x14ac:dyDescent="0.4">
      <c r="B283" s="1"/>
      <c r="C283" s="1"/>
      <c r="D283" s="1"/>
      <c r="E283" s="1"/>
      <c r="F283" s="1"/>
      <c r="G283" s="1"/>
      <c r="H283" s="1"/>
      <c r="I283" s="1"/>
      <c r="J283" s="1"/>
      <c r="K283" s="1"/>
      <c r="L283" s="1"/>
      <c r="M283" s="1"/>
    </row>
    <row r="284" spans="2:13" ht="24" x14ac:dyDescent="0.4">
      <c r="B284" s="1"/>
      <c r="C284" s="1"/>
      <c r="D284" s="1"/>
      <c r="E284" s="1"/>
      <c r="F284" s="1"/>
      <c r="G284" s="1"/>
      <c r="H284" s="1"/>
      <c r="I284" s="1"/>
      <c r="J284" s="1"/>
      <c r="K284" s="1"/>
      <c r="L284" s="1"/>
      <c r="M284" s="1"/>
    </row>
    <row r="285" spans="2:13" ht="24" x14ac:dyDescent="0.4">
      <c r="B285" s="1"/>
      <c r="C285" s="1"/>
      <c r="D285" s="1"/>
      <c r="E285" s="1"/>
      <c r="F285" s="1"/>
      <c r="G285" s="1"/>
      <c r="H285" s="1"/>
      <c r="I285" s="1"/>
      <c r="J285" s="1"/>
      <c r="K285" s="1"/>
      <c r="L285" s="1"/>
      <c r="M285" s="1"/>
    </row>
    <row r="286" spans="2:13" ht="24" x14ac:dyDescent="0.4">
      <c r="B286" s="1"/>
      <c r="C286" s="1"/>
      <c r="D286" s="1"/>
      <c r="E286" s="1"/>
      <c r="F286" s="1"/>
      <c r="G286" s="1"/>
      <c r="H286" s="1"/>
      <c r="I286" s="1"/>
      <c r="J286" s="1"/>
      <c r="K286" s="1"/>
      <c r="L286" s="1"/>
      <c r="M286" s="1"/>
    </row>
    <row r="287" spans="2:13" ht="24" x14ac:dyDescent="0.4">
      <c r="B287" s="1"/>
      <c r="C287" s="1"/>
      <c r="D287" s="1"/>
      <c r="E287" s="1"/>
      <c r="F287" s="1"/>
      <c r="G287" s="1"/>
      <c r="H287" s="1"/>
      <c r="I287" s="1"/>
      <c r="J287" s="1"/>
      <c r="K287" s="1"/>
      <c r="L287" s="1"/>
      <c r="M287" s="1"/>
    </row>
    <row r="288" spans="2:13" ht="24" x14ac:dyDescent="0.4">
      <c r="B288" s="1"/>
      <c r="C288" s="1"/>
      <c r="D288" s="1"/>
      <c r="E288" s="1"/>
      <c r="F288" s="1"/>
      <c r="G288" s="1"/>
      <c r="H288" s="1"/>
      <c r="I288" s="1"/>
      <c r="J288" s="1"/>
      <c r="K288" s="1"/>
      <c r="L288" s="1"/>
      <c r="M288" s="1"/>
    </row>
    <row r="289" spans="2:13" ht="24" x14ac:dyDescent="0.4">
      <c r="B289" s="1"/>
      <c r="C289" s="1"/>
      <c r="D289" s="1"/>
      <c r="E289" s="1"/>
      <c r="F289" s="1"/>
      <c r="G289" s="1"/>
      <c r="H289" s="1"/>
      <c r="I289" s="1"/>
      <c r="J289" s="1"/>
      <c r="K289" s="1"/>
      <c r="L289" s="1"/>
      <c r="M289" s="1"/>
    </row>
    <row r="290" spans="2:13" ht="24" x14ac:dyDescent="0.4">
      <c r="B290" s="1"/>
      <c r="C290" s="1"/>
      <c r="D290" s="1"/>
      <c r="E290" s="1"/>
      <c r="F290" s="1"/>
      <c r="G290" s="1"/>
      <c r="H290" s="1"/>
      <c r="I290" s="1"/>
      <c r="J290" s="1"/>
      <c r="K290" s="1"/>
      <c r="L290" s="1"/>
      <c r="M290" s="1"/>
    </row>
    <row r="291" spans="2:13" ht="24" x14ac:dyDescent="0.4">
      <c r="B291" s="1"/>
      <c r="C291" s="1"/>
      <c r="D291" s="1"/>
      <c r="E291" s="1"/>
      <c r="F291" s="1"/>
      <c r="G291" s="1"/>
      <c r="H291" s="1"/>
      <c r="I291" s="1"/>
      <c r="J291" s="1"/>
      <c r="K291" s="1"/>
      <c r="L291" s="1"/>
      <c r="M291" s="1"/>
    </row>
    <row r="292" spans="2:13" ht="24" x14ac:dyDescent="0.4">
      <c r="B292" s="1"/>
      <c r="C292" s="1"/>
      <c r="D292" s="1"/>
      <c r="E292" s="1"/>
      <c r="F292" s="1"/>
      <c r="G292" s="1"/>
      <c r="H292" s="1"/>
      <c r="I292" s="1"/>
      <c r="J292" s="1"/>
      <c r="K292" s="1"/>
      <c r="L292" s="1"/>
      <c r="M292" s="1"/>
    </row>
    <row r="293" spans="2:13" ht="24" x14ac:dyDescent="0.4">
      <c r="B293" s="1"/>
      <c r="C293" s="1"/>
      <c r="D293" s="1"/>
      <c r="E293" s="1"/>
      <c r="F293" s="1"/>
      <c r="G293" s="1"/>
      <c r="H293" s="1"/>
      <c r="I293" s="1"/>
      <c r="J293" s="1"/>
      <c r="K293" s="1"/>
      <c r="L293" s="1"/>
      <c r="M293" s="1"/>
    </row>
    <row r="294" spans="2:13" ht="24" x14ac:dyDescent="0.4">
      <c r="B294" s="1"/>
      <c r="C294" s="1"/>
      <c r="D294" s="1"/>
      <c r="E294" s="1"/>
      <c r="F294" s="1"/>
      <c r="G294" s="1"/>
      <c r="H294" s="1"/>
      <c r="I294" s="1"/>
      <c r="J294" s="1"/>
      <c r="K294" s="1"/>
      <c r="L294" s="1"/>
      <c r="M294" s="1"/>
    </row>
    <row r="295" spans="2:13" ht="24" x14ac:dyDescent="0.4">
      <c r="B295" s="1"/>
      <c r="C295" s="1"/>
      <c r="D295" s="1"/>
      <c r="E295" s="1"/>
      <c r="F295" s="1"/>
      <c r="G295" s="1"/>
      <c r="H295" s="1"/>
      <c r="I295" s="1"/>
      <c r="J295" s="1"/>
      <c r="K295" s="1"/>
      <c r="L295" s="1"/>
      <c r="M295" s="1"/>
    </row>
    <row r="296" spans="2:13" ht="24" x14ac:dyDescent="0.4">
      <c r="B296" s="1"/>
      <c r="C296" s="1"/>
      <c r="D296" s="1"/>
      <c r="E296" s="1"/>
      <c r="F296" s="1"/>
      <c r="G296" s="1"/>
      <c r="H296" s="1"/>
      <c r="I296" s="1"/>
      <c r="J296" s="1"/>
      <c r="K296" s="1"/>
      <c r="L296" s="1"/>
      <c r="M296" s="1"/>
    </row>
  </sheetData>
  <sheetProtection algorithmName="SHA-512" hashValue="GMAse0iINE3D+DmUzvk1+LiCWQHSTl0PXARVzT/yP7+dG+zb/FrODrKRsgNJBNNZ3MxpNlOgzUxpGdCppr43yg==" saltValue="cST+8ZSmqh+GEunNBSH4HQ==" spinCount="100000" sheet="1" objects="1" scenarios="1"/>
  <mergeCells count="207">
    <mergeCell ref="D162:D163"/>
    <mergeCell ref="B1:M1"/>
    <mergeCell ref="I2:I3"/>
    <mergeCell ref="B5:D5"/>
    <mergeCell ref="E5:F5"/>
    <mergeCell ref="H5:I5"/>
    <mergeCell ref="B6:D6"/>
    <mergeCell ref="D24:D25"/>
    <mergeCell ref="D28:D29"/>
    <mergeCell ref="D32:D33"/>
    <mergeCell ref="B7:D7"/>
    <mergeCell ref="B8:D8"/>
    <mergeCell ref="B10:B17"/>
    <mergeCell ref="B18:B21"/>
    <mergeCell ref="D34:D35"/>
    <mergeCell ref="D86:D87"/>
    <mergeCell ref="D88:D89"/>
    <mergeCell ref="D90:D91"/>
    <mergeCell ref="D94:D95"/>
    <mergeCell ref="D138:D139"/>
    <mergeCell ref="D124:D125"/>
    <mergeCell ref="M88:M89"/>
    <mergeCell ref="J2:L2"/>
    <mergeCell ref="J3:L3"/>
    <mergeCell ref="D164:D165"/>
    <mergeCell ref="D114:D115"/>
    <mergeCell ref="D116:D117"/>
    <mergeCell ref="D152:D153"/>
    <mergeCell ref="D144:D145"/>
    <mergeCell ref="D56:D57"/>
    <mergeCell ref="D126:D127"/>
    <mergeCell ref="D82:D83"/>
    <mergeCell ref="C38:C47"/>
    <mergeCell ref="D38:D39"/>
    <mergeCell ref="D40:D41"/>
    <mergeCell ref="D42:D43"/>
    <mergeCell ref="D44:D45"/>
    <mergeCell ref="D46:D47"/>
    <mergeCell ref="B96:C113"/>
    <mergeCell ref="D132:D133"/>
    <mergeCell ref="D136:D137"/>
    <mergeCell ref="B114:C123"/>
    <mergeCell ref="B124:C137"/>
    <mergeCell ref="B154:C165"/>
    <mergeCell ref="B68:B95"/>
    <mergeCell ref="C68:C71"/>
    <mergeCell ref="D66:D67"/>
    <mergeCell ref="C58:C67"/>
    <mergeCell ref="D104:D105"/>
    <mergeCell ref="D106:D107"/>
    <mergeCell ref="D96:D97"/>
    <mergeCell ref="D98:D99"/>
    <mergeCell ref="D102:D103"/>
    <mergeCell ref="D68:D69"/>
    <mergeCell ref="D70:D71"/>
    <mergeCell ref="D84:D85"/>
    <mergeCell ref="D52:D53"/>
    <mergeCell ref="D100:D101"/>
    <mergeCell ref="D92:D93"/>
    <mergeCell ref="B9:D9"/>
    <mergeCell ref="D78:D79"/>
    <mergeCell ref="D72:D73"/>
    <mergeCell ref="D76:D77"/>
    <mergeCell ref="D36:D37"/>
    <mergeCell ref="D64:D65"/>
    <mergeCell ref="D80:D81"/>
    <mergeCell ref="D74:D75"/>
    <mergeCell ref="C10:D11"/>
    <mergeCell ref="D26:D27"/>
    <mergeCell ref="C14:D15"/>
    <mergeCell ref="C12:D13"/>
    <mergeCell ref="C20:D21"/>
    <mergeCell ref="C18:D19"/>
    <mergeCell ref="M100:M101"/>
    <mergeCell ref="M138:M139"/>
    <mergeCell ref="M140:M141"/>
    <mergeCell ref="M142:M143"/>
    <mergeCell ref="O5:O6"/>
    <mergeCell ref="N5:N6"/>
    <mergeCell ref="M7:M9"/>
    <mergeCell ref="M24:M25"/>
    <mergeCell ref="L5:L6"/>
    <mergeCell ref="O72:S73"/>
    <mergeCell ref="M5:M6"/>
    <mergeCell ref="M26:M27"/>
    <mergeCell ref="M28:M29"/>
    <mergeCell ref="M32:M33"/>
    <mergeCell ref="M34:M35"/>
    <mergeCell ref="O68:S69"/>
    <mergeCell ref="M36:M37"/>
    <mergeCell ref="M38:M39"/>
    <mergeCell ref="M40:M41"/>
    <mergeCell ref="M42:M43"/>
    <mergeCell ref="M44:M45"/>
    <mergeCell ref="M50:M51"/>
    <mergeCell ref="N46:N47"/>
    <mergeCell ref="M64:M65"/>
    <mergeCell ref="M154:M165"/>
    <mergeCell ref="M120:M121"/>
    <mergeCell ref="M144:M145"/>
    <mergeCell ref="M146:M147"/>
    <mergeCell ref="M148:M149"/>
    <mergeCell ref="M150:M151"/>
    <mergeCell ref="M114:M115"/>
    <mergeCell ref="M116:M117"/>
    <mergeCell ref="M118:M119"/>
    <mergeCell ref="C16:D17"/>
    <mergeCell ref="M30:M31"/>
    <mergeCell ref="M48:M49"/>
    <mergeCell ref="N82:N83"/>
    <mergeCell ref="M132:M133"/>
    <mergeCell ref="M134:M135"/>
    <mergeCell ref="M136:M137"/>
    <mergeCell ref="M152:M153"/>
    <mergeCell ref="M122:M123"/>
    <mergeCell ref="M124:M125"/>
    <mergeCell ref="M126:M127"/>
    <mergeCell ref="M128:M129"/>
    <mergeCell ref="M130:M131"/>
    <mergeCell ref="M92:M93"/>
    <mergeCell ref="M76:M77"/>
    <mergeCell ref="M96:M97"/>
    <mergeCell ref="M98:M99"/>
    <mergeCell ref="M102:M103"/>
    <mergeCell ref="M104:M105"/>
    <mergeCell ref="M106:M107"/>
    <mergeCell ref="M90:M91"/>
    <mergeCell ref="M94:M95"/>
    <mergeCell ref="M108:M109"/>
    <mergeCell ref="M110:M111"/>
    <mergeCell ref="N84:N85"/>
    <mergeCell ref="N86:N87"/>
    <mergeCell ref="N10:N17"/>
    <mergeCell ref="N18:N19"/>
    <mergeCell ref="N20:N21"/>
    <mergeCell ref="N24:N25"/>
    <mergeCell ref="N26:N27"/>
    <mergeCell ref="N28:N29"/>
    <mergeCell ref="N32:N33"/>
    <mergeCell ref="N30:N31"/>
    <mergeCell ref="M10:M11"/>
    <mergeCell ref="M62:M63"/>
    <mergeCell ref="M78:M79"/>
    <mergeCell ref="M82:M83"/>
    <mergeCell ref="M84:M85"/>
    <mergeCell ref="M86:M87"/>
    <mergeCell ref="M68:M69"/>
    <mergeCell ref="M70:M71"/>
    <mergeCell ref="M80:M81"/>
    <mergeCell ref="M74:M75"/>
    <mergeCell ref="M18:M19"/>
    <mergeCell ref="M12:M13"/>
    <mergeCell ref="M14:M15"/>
    <mergeCell ref="M56:M57"/>
    <mergeCell ref="M46:M47"/>
    <mergeCell ref="M72:M73"/>
    <mergeCell ref="M52:M53"/>
    <mergeCell ref="M54:M55"/>
    <mergeCell ref="M20:M21"/>
    <mergeCell ref="N88:N89"/>
    <mergeCell ref="N90:N91"/>
    <mergeCell ref="N94:N95"/>
    <mergeCell ref="M16:M17"/>
    <mergeCell ref="C48:C57"/>
    <mergeCell ref="C22:C37"/>
    <mergeCell ref="M22:M23"/>
    <mergeCell ref="D22:D23"/>
    <mergeCell ref="D58:D59"/>
    <mergeCell ref="M58:M59"/>
    <mergeCell ref="D60:D61"/>
    <mergeCell ref="M60:M61"/>
    <mergeCell ref="D62:D63"/>
    <mergeCell ref="N68:N69"/>
    <mergeCell ref="N70:N71"/>
    <mergeCell ref="N72:N73"/>
    <mergeCell ref="N76:N77"/>
    <mergeCell ref="N78:N79"/>
    <mergeCell ref="N34:N35"/>
    <mergeCell ref="N36:N37"/>
    <mergeCell ref="N38:N39"/>
    <mergeCell ref="N40:N41"/>
    <mergeCell ref="N42:N43"/>
    <mergeCell ref="N44:N45"/>
    <mergeCell ref="D160:D161"/>
    <mergeCell ref="D54:D55"/>
    <mergeCell ref="D134:D135"/>
    <mergeCell ref="D140:D141"/>
    <mergeCell ref="D146:D147"/>
    <mergeCell ref="D142:D143"/>
    <mergeCell ref="B22:B67"/>
    <mergeCell ref="C72:C87"/>
    <mergeCell ref="C88:C95"/>
    <mergeCell ref="D30:D31"/>
    <mergeCell ref="D148:D149"/>
    <mergeCell ref="D150:D151"/>
    <mergeCell ref="D154:D155"/>
    <mergeCell ref="D156:D157"/>
    <mergeCell ref="D158:D159"/>
    <mergeCell ref="D108:D109"/>
    <mergeCell ref="D130:D131"/>
    <mergeCell ref="D120:D121"/>
    <mergeCell ref="D128:D129"/>
    <mergeCell ref="D110:D111"/>
    <mergeCell ref="D118:D119"/>
    <mergeCell ref="D122:D123"/>
    <mergeCell ref="D112:D113"/>
    <mergeCell ref="B138:C153"/>
  </mergeCells>
  <phoneticPr fontId="1"/>
  <pageMargins left="0.25" right="0.25" top="0.75" bottom="0.75" header="0.3" footer="0.3"/>
  <pageSetup paperSize="9" scale="24"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8900E-799B-4885-A722-5A10797484E4}">
  <sheetPr>
    <tabColor rgb="FFFF0000"/>
    <pageSetUpPr fitToPage="1"/>
  </sheetPr>
  <dimension ref="B2:AA54"/>
  <sheetViews>
    <sheetView zoomScale="85" zoomScaleNormal="85" workbookViewId="0">
      <selection activeCell="P15" sqref="P15"/>
    </sheetView>
  </sheetViews>
  <sheetFormatPr defaultRowHeight="18.75" x14ac:dyDescent="0.4"/>
  <cols>
    <col min="1" max="1" width="2.125" customWidth="1"/>
    <col min="17" max="17" width="10.375" customWidth="1"/>
  </cols>
  <sheetData>
    <row r="2" spans="2:26" ht="18.75" customHeight="1" x14ac:dyDescent="0.4">
      <c r="B2" s="488" t="s">
        <v>157</v>
      </c>
      <c r="C2" s="488"/>
      <c r="D2" s="488"/>
      <c r="E2" s="488"/>
      <c r="F2" s="488"/>
      <c r="G2" s="488"/>
      <c r="H2" s="488"/>
      <c r="I2" s="488"/>
      <c r="J2" s="488"/>
      <c r="K2" s="488"/>
      <c r="L2" s="488"/>
      <c r="M2" s="488"/>
      <c r="O2" s="76"/>
      <c r="P2" s="76"/>
      <c r="Q2" s="76"/>
      <c r="R2" s="76"/>
      <c r="S2" s="76"/>
      <c r="T2" s="76"/>
      <c r="U2" s="76"/>
      <c r="V2" s="76"/>
      <c r="W2" s="76"/>
      <c r="X2" s="76"/>
      <c r="Y2" s="76"/>
      <c r="Z2" s="76"/>
    </row>
    <row r="3" spans="2:26" x14ac:dyDescent="0.4">
      <c r="B3" s="488"/>
      <c r="C3" s="488"/>
      <c r="D3" s="488"/>
      <c r="E3" s="488"/>
      <c r="F3" s="488"/>
      <c r="G3" s="488"/>
      <c r="H3" s="488"/>
      <c r="I3" s="488"/>
      <c r="J3" s="488"/>
      <c r="K3" s="488"/>
      <c r="L3" s="488"/>
      <c r="M3" s="488"/>
      <c r="O3" s="76"/>
      <c r="P3" s="76"/>
      <c r="Q3" s="76"/>
      <c r="R3" s="76"/>
      <c r="S3" s="76"/>
      <c r="T3" s="76"/>
      <c r="U3" s="76"/>
      <c r="V3" s="76"/>
      <c r="W3" s="76"/>
      <c r="X3" s="76"/>
      <c r="Y3" s="76"/>
      <c r="Z3" s="76"/>
    </row>
    <row r="4" spans="2:26" x14ac:dyDescent="0.4">
      <c r="B4" s="488"/>
      <c r="C4" s="488"/>
      <c r="D4" s="488"/>
      <c r="E4" s="488"/>
      <c r="F4" s="488"/>
      <c r="G4" s="488"/>
      <c r="H4" s="488"/>
      <c r="I4" s="488"/>
      <c r="J4" s="488"/>
      <c r="K4" s="488"/>
      <c r="L4" s="488"/>
      <c r="M4" s="488"/>
      <c r="O4" s="76"/>
      <c r="P4" s="76"/>
      <c r="Q4" s="76"/>
      <c r="R4" s="76"/>
      <c r="S4" s="76"/>
      <c r="T4" s="76"/>
      <c r="U4" s="76"/>
      <c r="V4" s="76"/>
      <c r="W4" s="76"/>
      <c r="X4" s="76"/>
      <c r="Y4" s="76"/>
      <c r="Z4" s="76"/>
    </row>
    <row r="5" spans="2:26" x14ac:dyDescent="0.4">
      <c r="B5" s="488"/>
      <c r="C5" s="488"/>
      <c r="D5" s="488"/>
      <c r="E5" s="488"/>
      <c r="F5" s="488"/>
      <c r="G5" s="488"/>
      <c r="H5" s="488"/>
      <c r="I5" s="488"/>
      <c r="J5" s="488"/>
      <c r="K5" s="488"/>
      <c r="L5" s="488"/>
      <c r="M5" s="488"/>
      <c r="O5" s="76"/>
      <c r="P5" s="76"/>
      <c r="Q5" s="76"/>
      <c r="R5" s="76"/>
      <c r="S5" s="76"/>
      <c r="T5" s="76"/>
      <c r="U5" s="76"/>
      <c r="V5" s="76"/>
      <c r="W5" s="76"/>
      <c r="X5" s="76"/>
      <c r="Y5" s="76"/>
      <c r="Z5" s="76"/>
    </row>
    <row r="6" spans="2:26" x14ac:dyDescent="0.4">
      <c r="B6" s="488"/>
      <c r="C6" s="488"/>
      <c r="D6" s="488"/>
      <c r="E6" s="488"/>
      <c r="F6" s="488"/>
      <c r="G6" s="488"/>
      <c r="H6" s="488"/>
      <c r="I6" s="488"/>
      <c r="J6" s="488"/>
      <c r="K6" s="488"/>
      <c r="L6" s="488"/>
      <c r="M6" s="488"/>
      <c r="O6" s="76"/>
      <c r="P6" s="76"/>
      <c r="Q6" s="76"/>
      <c r="R6" s="76"/>
      <c r="S6" s="76"/>
      <c r="T6" s="76"/>
      <c r="U6" s="76"/>
      <c r="V6" s="76"/>
      <c r="W6" s="76"/>
      <c r="X6" s="76"/>
      <c r="Y6" s="76"/>
      <c r="Z6" s="76"/>
    </row>
    <row r="7" spans="2:26" x14ac:dyDescent="0.4">
      <c r="B7" s="488"/>
      <c r="C7" s="488"/>
      <c r="D7" s="488"/>
      <c r="E7" s="488"/>
      <c r="F7" s="488"/>
      <c r="G7" s="488"/>
      <c r="H7" s="488"/>
      <c r="I7" s="488"/>
      <c r="J7" s="488"/>
      <c r="K7" s="488"/>
      <c r="L7" s="488"/>
      <c r="M7" s="488"/>
      <c r="O7" s="76"/>
      <c r="P7" s="76"/>
      <c r="Q7" s="76"/>
      <c r="R7" s="76"/>
      <c r="S7" s="76"/>
      <c r="T7" s="76"/>
      <c r="U7" s="76"/>
      <c r="V7" s="76"/>
      <c r="W7" s="76"/>
      <c r="X7" s="76"/>
      <c r="Y7" s="76"/>
      <c r="Z7" s="76"/>
    </row>
    <row r="8" spans="2:26" x14ac:dyDescent="0.4">
      <c r="B8" s="488"/>
      <c r="C8" s="488"/>
      <c r="D8" s="488"/>
      <c r="E8" s="488"/>
      <c r="F8" s="488"/>
      <c r="G8" s="488"/>
      <c r="H8" s="488"/>
      <c r="I8" s="488"/>
      <c r="J8" s="488"/>
      <c r="K8" s="488"/>
      <c r="L8" s="488"/>
      <c r="M8" s="488"/>
      <c r="O8" s="76"/>
      <c r="P8" s="76"/>
      <c r="Q8" s="76"/>
      <c r="R8" s="76"/>
      <c r="S8" s="76"/>
      <c r="T8" s="76"/>
      <c r="U8" s="76"/>
      <c r="V8" s="76"/>
      <c r="W8" s="76"/>
      <c r="X8" s="76"/>
      <c r="Y8" s="76"/>
      <c r="Z8" s="76"/>
    </row>
    <row r="9" spans="2:26" x14ac:dyDescent="0.4">
      <c r="B9" s="488"/>
      <c r="C9" s="488"/>
      <c r="D9" s="488"/>
      <c r="E9" s="488"/>
      <c r="F9" s="488"/>
      <c r="G9" s="488"/>
      <c r="H9" s="488"/>
      <c r="I9" s="488"/>
      <c r="J9" s="488"/>
      <c r="K9" s="488"/>
      <c r="L9" s="488"/>
      <c r="M9" s="488"/>
      <c r="O9" s="76"/>
      <c r="P9" s="76"/>
      <c r="Q9" s="76"/>
      <c r="R9" s="76"/>
      <c r="S9" s="76"/>
      <c r="T9" s="76"/>
      <c r="U9" s="76"/>
      <c r="V9" s="76"/>
      <c r="W9" s="76"/>
      <c r="X9" s="76"/>
      <c r="Y9" s="76"/>
      <c r="Z9" s="76"/>
    </row>
    <row r="10" spans="2:26" x14ac:dyDescent="0.4">
      <c r="B10" s="488"/>
      <c r="C10" s="488"/>
      <c r="D10" s="488"/>
      <c r="E10" s="488"/>
      <c r="F10" s="488"/>
      <c r="G10" s="488"/>
      <c r="H10" s="488"/>
      <c r="I10" s="488"/>
      <c r="J10" s="488"/>
      <c r="K10" s="488"/>
      <c r="L10" s="488"/>
      <c r="M10" s="488"/>
      <c r="O10" s="76"/>
      <c r="P10" s="76"/>
      <c r="Q10" s="76"/>
      <c r="R10" s="76"/>
      <c r="S10" s="76"/>
      <c r="T10" s="76"/>
      <c r="U10" s="76"/>
      <c r="V10" s="76"/>
      <c r="W10" s="76"/>
      <c r="X10" s="76"/>
      <c r="Y10" s="76"/>
      <c r="Z10" s="76"/>
    </row>
    <row r="11" spans="2:26" x14ac:dyDescent="0.4">
      <c r="B11" s="488"/>
      <c r="C11" s="488"/>
      <c r="D11" s="488"/>
      <c r="E11" s="488"/>
      <c r="F11" s="488"/>
      <c r="G11" s="488"/>
      <c r="H11" s="488"/>
      <c r="I11" s="488"/>
      <c r="J11" s="488"/>
      <c r="K11" s="488"/>
      <c r="L11" s="488"/>
      <c r="M11" s="488"/>
      <c r="O11" s="76"/>
      <c r="P11" s="76"/>
      <c r="Q11" s="76"/>
      <c r="R11" s="76"/>
      <c r="S11" s="76"/>
      <c r="T11" s="76"/>
      <c r="U11" s="76"/>
      <c r="V11" s="76"/>
      <c r="W11" s="76"/>
      <c r="X11" s="76"/>
      <c r="Y11" s="76"/>
      <c r="Z11" s="76"/>
    </row>
    <row r="12" spans="2:26" x14ac:dyDescent="0.4">
      <c r="B12" s="488"/>
      <c r="C12" s="488"/>
      <c r="D12" s="488"/>
      <c r="E12" s="488"/>
      <c r="F12" s="488"/>
      <c r="G12" s="488"/>
      <c r="H12" s="488"/>
      <c r="I12" s="488"/>
      <c r="J12" s="488"/>
      <c r="K12" s="488"/>
      <c r="L12" s="488"/>
      <c r="M12" s="488"/>
      <c r="O12" s="76"/>
      <c r="P12" s="76"/>
      <c r="Q12" s="76"/>
      <c r="R12" s="76"/>
      <c r="S12" s="76"/>
      <c r="T12" s="76"/>
      <c r="U12" s="76"/>
      <c r="V12" s="76"/>
      <c r="W12" s="76"/>
      <c r="X12" s="76"/>
      <c r="Y12" s="76"/>
      <c r="Z12" s="76"/>
    </row>
    <row r="13" spans="2:26" x14ac:dyDescent="0.4">
      <c r="B13" s="488"/>
      <c r="C13" s="488"/>
      <c r="D13" s="488"/>
      <c r="E13" s="488"/>
      <c r="F13" s="488"/>
      <c r="G13" s="488"/>
      <c r="H13" s="488"/>
      <c r="I13" s="488"/>
      <c r="J13" s="488"/>
      <c r="K13" s="488"/>
      <c r="L13" s="488"/>
      <c r="M13" s="488"/>
      <c r="O13" s="76"/>
      <c r="P13" s="76"/>
      <c r="Q13" s="76"/>
      <c r="R13" s="76"/>
      <c r="S13" s="76"/>
      <c r="T13" s="76"/>
      <c r="U13" s="76"/>
      <c r="V13" s="76"/>
      <c r="W13" s="76"/>
      <c r="X13" s="76"/>
      <c r="Y13" s="76"/>
      <c r="Z13" s="76"/>
    </row>
    <row r="14" spans="2:26" x14ac:dyDescent="0.4">
      <c r="B14" s="488"/>
      <c r="C14" s="488"/>
      <c r="D14" s="488"/>
      <c r="E14" s="488"/>
      <c r="F14" s="488"/>
      <c r="G14" s="488"/>
      <c r="H14" s="488"/>
      <c r="I14" s="488"/>
      <c r="J14" s="488"/>
      <c r="K14" s="488"/>
      <c r="L14" s="488"/>
      <c r="M14" s="488"/>
      <c r="O14" s="76"/>
      <c r="P14" s="76"/>
      <c r="Q14" s="76"/>
      <c r="R14" s="76"/>
      <c r="S14" s="76"/>
      <c r="T14" s="76"/>
      <c r="U14" s="76"/>
      <c r="V14" s="76"/>
      <c r="W14" s="76"/>
      <c r="X14" s="76"/>
      <c r="Y14" s="76"/>
      <c r="Z14" s="76"/>
    </row>
    <row r="15" spans="2:26" x14ac:dyDescent="0.4">
      <c r="B15" s="488"/>
      <c r="C15" s="488"/>
      <c r="D15" s="488"/>
      <c r="E15" s="488"/>
      <c r="F15" s="488"/>
      <c r="G15" s="488"/>
      <c r="H15" s="488"/>
      <c r="I15" s="488"/>
      <c r="J15" s="488"/>
      <c r="K15" s="488"/>
      <c r="L15" s="488"/>
      <c r="M15" s="488"/>
      <c r="O15" s="76"/>
      <c r="P15" s="76"/>
      <c r="Q15" s="76"/>
      <c r="R15" s="76"/>
      <c r="S15" s="76"/>
      <c r="T15" s="76"/>
      <c r="U15" s="76"/>
      <c r="V15" s="76"/>
      <c r="W15" s="76"/>
      <c r="X15" s="76"/>
      <c r="Y15" s="76"/>
      <c r="Z15" s="76"/>
    </row>
    <row r="16" spans="2:26" x14ac:dyDescent="0.4">
      <c r="B16" s="488"/>
      <c r="C16" s="488"/>
      <c r="D16" s="488"/>
      <c r="E16" s="488"/>
      <c r="F16" s="488"/>
      <c r="G16" s="488"/>
      <c r="H16" s="488"/>
      <c r="I16" s="488"/>
      <c r="J16" s="488"/>
      <c r="K16" s="488"/>
      <c r="L16" s="488"/>
      <c r="M16" s="488"/>
      <c r="O16" s="76"/>
      <c r="P16" s="76"/>
      <c r="Q16" s="76"/>
      <c r="R16" s="76"/>
      <c r="S16" s="76"/>
      <c r="T16" s="76"/>
      <c r="U16" s="76"/>
      <c r="V16" s="76"/>
      <c r="W16" s="76"/>
      <c r="X16" s="76"/>
      <c r="Y16" s="76"/>
      <c r="Z16" s="76"/>
    </row>
    <row r="17" spans="2:27" x14ac:dyDescent="0.4">
      <c r="B17" s="488"/>
      <c r="C17" s="488"/>
      <c r="D17" s="488"/>
      <c r="E17" s="488"/>
      <c r="F17" s="488"/>
      <c r="G17" s="488"/>
      <c r="H17" s="488"/>
      <c r="I17" s="488"/>
      <c r="J17" s="488"/>
      <c r="K17" s="488"/>
      <c r="L17" s="488"/>
      <c r="M17" s="488"/>
      <c r="O17" s="68"/>
      <c r="P17" s="68"/>
      <c r="Q17" s="68"/>
      <c r="R17" s="68"/>
      <c r="S17" s="68"/>
      <c r="T17" s="68"/>
      <c r="U17" s="68"/>
      <c r="V17" s="68"/>
      <c r="W17" s="68"/>
      <c r="X17" s="68"/>
      <c r="Y17" s="68"/>
      <c r="Z17" s="68"/>
    </row>
    <row r="18" spans="2:27" x14ac:dyDescent="0.4">
      <c r="B18" s="488"/>
      <c r="C18" s="488"/>
      <c r="D18" s="488"/>
      <c r="E18" s="488"/>
      <c r="F18" s="488"/>
      <c r="G18" s="488"/>
      <c r="H18" s="488"/>
      <c r="I18" s="488"/>
      <c r="J18" s="488"/>
      <c r="K18" s="488"/>
      <c r="L18" s="488"/>
      <c r="M18" s="488"/>
      <c r="U18" s="70"/>
      <c r="V18" s="70"/>
      <c r="W18" s="70"/>
      <c r="X18" s="70"/>
      <c r="Y18" s="70"/>
      <c r="Z18" s="70"/>
      <c r="AA18" s="70"/>
    </row>
    <row r="19" spans="2:27" x14ac:dyDescent="0.4">
      <c r="B19" s="488"/>
      <c r="C19" s="488"/>
      <c r="D19" s="488"/>
      <c r="E19" s="488"/>
      <c r="F19" s="488"/>
      <c r="G19" s="488"/>
      <c r="H19" s="488"/>
      <c r="I19" s="488"/>
      <c r="J19" s="488"/>
      <c r="K19" s="488"/>
      <c r="L19" s="488"/>
      <c r="M19" s="488"/>
      <c r="U19" s="70"/>
      <c r="V19" s="70"/>
      <c r="W19" s="70"/>
      <c r="X19" s="70"/>
      <c r="Y19" s="70"/>
      <c r="Z19" s="70"/>
      <c r="AA19" s="70"/>
    </row>
    <row r="20" spans="2:27" x14ac:dyDescent="0.4">
      <c r="B20" s="488"/>
      <c r="C20" s="488"/>
      <c r="D20" s="488"/>
      <c r="E20" s="488"/>
      <c r="F20" s="488"/>
      <c r="G20" s="488"/>
      <c r="H20" s="488"/>
      <c r="I20" s="488"/>
      <c r="J20" s="488"/>
      <c r="K20" s="488"/>
      <c r="L20" s="488"/>
      <c r="M20" s="488"/>
      <c r="U20" s="70"/>
      <c r="V20" s="70"/>
      <c r="W20" s="70"/>
      <c r="X20" s="70"/>
      <c r="Y20" s="70"/>
      <c r="Z20" s="70"/>
      <c r="AA20" s="70"/>
    </row>
    <row r="21" spans="2:27" x14ac:dyDescent="0.4">
      <c r="B21" s="488"/>
      <c r="C21" s="488"/>
      <c r="D21" s="488"/>
      <c r="E21" s="488"/>
      <c r="F21" s="488"/>
      <c r="G21" s="488"/>
      <c r="H21" s="488"/>
      <c r="I21" s="488"/>
      <c r="J21" s="488"/>
      <c r="K21" s="488"/>
      <c r="L21" s="488"/>
      <c r="M21" s="488"/>
      <c r="U21" s="70"/>
      <c r="V21" s="70"/>
      <c r="W21" s="70"/>
      <c r="X21" s="70"/>
      <c r="Y21" s="70"/>
      <c r="Z21" s="70"/>
      <c r="AA21" s="70"/>
    </row>
    <row r="22" spans="2:27" x14ac:dyDescent="0.4">
      <c r="B22" s="488"/>
      <c r="C22" s="488"/>
      <c r="D22" s="488"/>
      <c r="E22" s="488"/>
      <c r="F22" s="488"/>
      <c r="G22" s="488"/>
      <c r="H22" s="488"/>
      <c r="I22" s="488"/>
      <c r="J22" s="488"/>
      <c r="K22" s="488"/>
      <c r="L22" s="488"/>
      <c r="M22" s="488"/>
      <c r="U22" s="70"/>
      <c r="V22" s="70"/>
      <c r="W22" s="70"/>
      <c r="X22" s="70"/>
      <c r="Y22" s="70"/>
      <c r="Z22" s="70"/>
      <c r="AA22" s="70"/>
    </row>
    <row r="23" spans="2:27" x14ac:dyDescent="0.4">
      <c r="B23" s="488"/>
      <c r="C23" s="488"/>
      <c r="D23" s="488"/>
      <c r="E23" s="488"/>
      <c r="F23" s="488"/>
      <c r="G23" s="488"/>
      <c r="H23" s="488"/>
      <c r="I23" s="488"/>
      <c r="J23" s="488"/>
      <c r="K23" s="488"/>
      <c r="L23" s="488"/>
      <c r="M23" s="488"/>
      <c r="U23" s="70"/>
      <c r="V23" s="70"/>
      <c r="W23" s="70"/>
      <c r="X23" s="70"/>
      <c r="Y23" s="70"/>
      <c r="Z23" s="70"/>
      <c r="AA23" s="70"/>
    </row>
    <row r="24" spans="2:27" x14ac:dyDescent="0.4">
      <c r="B24" s="488"/>
      <c r="C24" s="488"/>
      <c r="D24" s="488"/>
      <c r="E24" s="488"/>
      <c r="F24" s="488"/>
      <c r="G24" s="488"/>
      <c r="H24" s="488"/>
      <c r="I24" s="488"/>
      <c r="J24" s="488"/>
      <c r="K24" s="488"/>
      <c r="L24" s="488"/>
      <c r="M24" s="488"/>
      <c r="U24" s="70"/>
      <c r="V24" s="70"/>
      <c r="W24" s="70"/>
      <c r="X24" s="70"/>
      <c r="Y24" s="70"/>
      <c r="Z24" s="70"/>
      <c r="AA24" s="70"/>
    </row>
    <row r="25" spans="2:27" x14ac:dyDescent="0.4">
      <c r="B25" s="488"/>
      <c r="C25" s="488"/>
      <c r="D25" s="488"/>
      <c r="E25" s="488"/>
      <c r="F25" s="488"/>
      <c r="G25" s="488"/>
      <c r="H25" s="488"/>
      <c r="I25" s="488"/>
      <c r="J25" s="488"/>
      <c r="K25" s="488"/>
      <c r="L25" s="488"/>
      <c r="M25" s="488"/>
      <c r="O25" s="70"/>
      <c r="P25" s="70"/>
      <c r="Q25" s="70"/>
      <c r="R25" s="70"/>
      <c r="S25" s="70"/>
      <c r="T25" s="70"/>
      <c r="U25" s="70"/>
      <c r="V25" s="70"/>
      <c r="W25" s="70"/>
      <c r="X25" s="70"/>
      <c r="Y25" s="70"/>
      <c r="Z25" s="70"/>
      <c r="AA25" s="70"/>
    </row>
    <row r="26" spans="2:27" x14ac:dyDescent="0.4">
      <c r="B26" s="488"/>
      <c r="C26" s="488"/>
      <c r="D26" s="488"/>
      <c r="E26" s="488"/>
      <c r="F26" s="488"/>
      <c r="G26" s="488"/>
      <c r="H26" s="488"/>
      <c r="I26" s="488"/>
      <c r="J26" s="488"/>
      <c r="K26" s="488"/>
      <c r="L26" s="488"/>
      <c r="M26" s="488"/>
      <c r="O26" s="70"/>
      <c r="P26" s="70"/>
      <c r="Q26" s="70"/>
      <c r="R26" s="70"/>
      <c r="S26" s="70"/>
      <c r="T26" s="70"/>
      <c r="U26" s="70"/>
      <c r="V26" s="70"/>
      <c r="W26" s="70"/>
      <c r="X26" s="70"/>
      <c r="Y26" s="70"/>
      <c r="Z26" s="70"/>
      <c r="AA26" s="70"/>
    </row>
    <row r="27" spans="2:27" x14ac:dyDescent="0.4">
      <c r="B27" s="488"/>
      <c r="C27" s="488"/>
      <c r="D27" s="488"/>
      <c r="E27" s="488"/>
      <c r="F27" s="488"/>
      <c r="G27" s="488"/>
      <c r="H27" s="488"/>
      <c r="I27" s="488"/>
      <c r="J27" s="488"/>
      <c r="K27" s="488"/>
      <c r="L27" s="488"/>
      <c r="M27" s="488"/>
      <c r="O27" s="70"/>
      <c r="P27" s="70"/>
      <c r="Q27" s="70"/>
      <c r="R27" s="70"/>
      <c r="S27" s="70"/>
      <c r="T27" s="70"/>
      <c r="U27" s="70"/>
      <c r="V27" s="70"/>
      <c r="W27" s="70"/>
      <c r="X27" s="70"/>
      <c r="Y27" s="70"/>
      <c r="Z27" s="70"/>
      <c r="AA27" s="70"/>
    </row>
    <row r="28" spans="2:27" x14ac:dyDescent="0.4">
      <c r="B28" s="488"/>
      <c r="C28" s="488"/>
      <c r="D28" s="488"/>
      <c r="E28" s="488"/>
      <c r="F28" s="488"/>
      <c r="G28" s="488"/>
      <c r="H28" s="488"/>
      <c r="I28" s="488"/>
      <c r="J28" s="488"/>
      <c r="K28" s="488"/>
      <c r="L28" s="488"/>
      <c r="M28" s="488"/>
      <c r="O28" s="70"/>
      <c r="P28" s="70"/>
      <c r="Q28" s="70"/>
      <c r="R28" s="70"/>
      <c r="S28" s="70"/>
      <c r="T28" s="70"/>
      <c r="U28" s="70"/>
      <c r="V28" s="70"/>
      <c r="W28" s="70"/>
      <c r="X28" s="70"/>
      <c r="Y28" s="70"/>
      <c r="Z28" s="70"/>
      <c r="AA28" s="70"/>
    </row>
    <row r="29" spans="2:27" x14ac:dyDescent="0.4">
      <c r="B29" s="488"/>
      <c r="C29" s="488"/>
      <c r="D29" s="488"/>
      <c r="E29" s="488"/>
      <c r="F29" s="488"/>
      <c r="G29" s="488"/>
      <c r="H29" s="488"/>
      <c r="I29" s="488"/>
      <c r="J29" s="488"/>
      <c r="K29" s="488"/>
      <c r="L29" s="488"/>
      <c r="M29" s="488"/>
      <c r="O29" s="70"/>
      <c r="P29" s="70"/>
      <c r="Q29" s="70"/>
      <c r="R29" s="70"/>
      <c r="S29" s="70"/>
      <c r="T29" s="70"/>
      <c r="U29" s="70"/>
      <c r="V29" s="70"/>
      <c r="W29" s="70"/>
      <c r="X29" s="70"/>
      <c r="Y29" s="70"/>
      <c r="Z29" s="70"/>
      <c r="AA29" s="70"/>
    </row>
    <row r="30" spans="2:27" x14ac:dyDescent="0.4">
      <c r="B30" s="488"/>
      <c r="C30" s="488"/>
      <c r="D30" s="488"/>
      <c r="E30" s="488"/>
      <c r="F30" s="488"/>
      <c r="G30" s="488"/>
      <c r="H30" s="488"/>
      <c r="I30" s="488"/>
      <c r="J30" s="488"/>
      <c r="K30" s="488"/>
      <c r="L30" s="488"/>
      <c r="M30" s="488"/>
      <c r="O30" s="70"/>
      <c r="P30" s="70"/>
      <c r="Q30" s="70"/>
      <c r="R30" s="70"/>
      <c r="S30" s="70"/>
      <c r="T30" s="70"/>
      <c r="U30" s="70"/>
      <c r="V30" s="70"/>
      <c r="W30" s="70"/>
      <c r="X30" s="70"/>
      <c r="Y30" s="70"/>
      <c r="Z30" s="70"/>
      <c r="AA30" s="70"/>
    </row>
    <row r="31" spans="2:27" x14ac:dyDescent="0.4">
      <c r="B31" s="488"/>
      <c r="C31" s="488"/>
      <c r="D31" s="488"/>
      <c r="E31" s="488"/>
      <c r="F31" s="488"/>
      <c r="G31" s="488"/>
      <c r="H31" s="488"/>
      <c r="I31" s="488"/>
      <c r="J31" s="488"/>
      <c r="K31" s="488"/>
      <c r="L31" s="488"/>
      <c r="M31" s="488"/>
      <c r="O31" s="70"/>
      <c r="P31" s="70"/>
      <c r="Q31" s="70"/>
      <c r="R31" s="70"/>
      <c r="S31" s="70"/>
      <c r="T31" s="70"/>
      <c r="U31" s="70"/>
      <c r="V31" s="70"/>
      <c r="W31" s="70"/>
      <c r="X31" s="70"/>
      <c r="Y31" s="70"/>
      <c r="Z31" s="70"/>
      <c r="AA31" s="70"/>
    </row>
    <row r="32" spans="2:27" x14ac:dyDescent="0.4">
      <c r="B32" s="488"/>
      <c r="C32" s="488"/>
      <c r="D32" s="488"/>
      <c r="E32" s="488"/>
      <c r="F32" s="488"/>
      <c r="G32" s="488"/>
      <c r="H32" s="488"/>
      <c r="I32" s="488"/>
      <c r="J32" s="488"/>
      <c r="K32" s="488"/>
      <c r="L32" s="488"/>
      <c r="M32" s="488"/>
      <c r="O32" s="70"/>
      <c r="P32" s="70"/>
      <c r="Q32" s="70"/>
      <c r="R32" s="70"/>
      <c r="S32" s="70"/>
      <c r="T32" s="70"/>
      <c r="U32" s="70"/>
      <c r="V32" s="70"/>
      <c r="W32" s="70"/>
      <c r="X32" s="70"/>
      <c r="Y32" s="70"/>
      <c r="Z32" s="70"/>
      <c r="AA32" s="70"/>
    </row>
    <row r="33" spans="2:27" x14ac:dyDescent="0.4">
      <c r="B33" s="488"/>
      <c r="C33" s="488"/>
      <c r="D33" s="488"/>
      <c r="E33" s="488"/>
      <c r="F33" s="488"/>
      <c r="G33" s="488"/>
      <c r="H33" s="488"/>
      <c r="I33" s="488"/>
      <c r="J33" s="488"/>
      <c r="K33" s="488"/>
      <c r="L33" s="488"/>
      <c r="M33" s="488"/>
      <c r="O33" s="70"/>
      <c r="P33" s="70"/>
      <c r="Q33" s="70"/>
      <c r="R33" s="70"/>
      <c r="S33" s="70"/>
      <c r="T33" s="70"/>
      <c r="U33" s="70"/>
      <c r="V33" s="70"/>
      <c r="W33" s="70"/>
      <c r="X33" s="70"/>
      <c r="Y33" s="70"/>
      <c r="Z33" s="70"/>
      <c r="AA33" s="70"/>
    </row>
    <row r="34" spans="2:27" x14ac:dyDescent="0.4">
      <c r="B34" s="488"/>
      <c r="C34" s="488"/>
      <c r="D34" s="488"/>
      <c r="E34" s="488"/>
      <c r="F34" s="488"/>
      <c r="G34" s="488"/>
      <c r="H34" s="488"/>
      <c r="I34" s="488"/>
      <c r="J34" s="488"/>
      <c r="K34" s="488"/>
      <c r="L34" s="488"/>
      <c r="M34" s="488"/>
      <c r="O34" s="70"/>
      <c r="P34" s="70"/>
      <c r="Q34" s="70"/>
      <c r="R34" s="70"/>
      <c r="S34" s="70"/>
      <c r="T34" s="70"/>
      <c r="U34" s="70"/>
      <c r="V34" s="70"/>
      <c r="W34" s="70"/>
      <c r="X34" s="70"/>
      <c r="Y34" s="70"/>
      <c r="Z34" s="70"/>
      <c r="AA34" s="70"/>
    </row>
    <row r="35" spans="2:27" x14ac:dyDescent="0.4">
      <c r="B35" s="488"/>
      <c r="C35" s="488"/>
      <c r="D35" s="488"/>
      <c r="E35" s="488"/>
      <c r="F35" s="488"/>
      <c r="G35" s="488"/>
      <c r="H35" s="488"/>
      <c r="I35" s="488"/>
      <c r="J35" s="488"/>
      <c r="K35" s="488"/>
      <c r="L35" s="488"/>
      <c r="M35" s="488"/>
      <c r="O35" s="70"/>
      <c r="P35" s="70"/>
      <c r="Q35" s="70"/>
      <c r="R35" s="70"/>
      <c r="S35" s="70"/>
      <c r="T35" s="70"/>
      <c r="U35" s="70"/>
      <c r="V35" s="70"/>
      <c r="W35" s="70"/>
      <c r="X35" s="70"/>
      <c r="Y35" s="70"/>
      <c r="Z35" s="70"/>
      <c r="AA35" s="70"/>
    </row>
    <row r="36" spans="2:27" x14ac:dyDescent="0.4">
      <c r="B36" s="488"/>
      <c r="C36" s="488"/>
      <c r="D36" s="488"/>
      <c r="E36" s="488"/>
      <c r="F36" s="488"/>
      <c r="G36" s="488"/>
      <c r="H36" s="488"/>
      <c r="I36" s="488"/>
      <c r="J36" s="488"/>
      <c r="K36" s="488"/>
      <c r="L36" s="488"/>
      <c r="M36" s="488"/>
      <c r="O36" s="70"/>
      <c r="P36" s="70"/>
      <c r="Q36" s="70"/>
      <c r="R36" s="70"/>
      <c r="S36" s="70"/>
      <c r="T36" s="70"/>
      <c r="U36" s="70"/>
      <c r="V36" s="70"/>
      <c r="W36" s="70"/>
      <c r="X36" s="70"/>
      <c r="Y36" s="70"/>
      <c r="Z36" s="70"/>
      <c r="AA36" s="70"/>
    </row>
    <row r="37" spans="2:27" x14ac:dyDescent="0.4">
      <c r="B37" s="488"/>
      <c r="C37" s="488"/>
      <c r="D37" s="488"/>
      <c r="E37" s="488"/>
      <c r="F37" s="488"/>
      <c r="G37" s="488"/>
      <c r="H37" s="488"/>
      <c r="I37" s="488"/>
      <c r="J37" s="488"/>
      <c r="K37" s="488"/>
      <c r="L37" s="488"/>
      <c r="M37" s="488"/>
      <c r="O37" s="70"/>
      <c r="P37" s="70"/>
      <c r="Q37" s="70"/>
      <c r="R37" s="70"/>
      <c r="S37" s="70"/>
      <c r="T37" s="70"/>
      <c r="U37" s="70"/>
      <c r="V37" s="70"/>
      <c r="W37" s="70"/>
      <c r="X37" s="70"/>
      <c r="Y37" s="70"/>
      <c r="Z37" s="70"/>
      <c r="AA37" s="70"/>
    </row>
    <row r="38" spans="2:27" x14ac:dyDescent="0.4">
      <c r="B38" s="488"/>
      <c r="C38" s="488"/>
      <c r="D38" s="488"/>
      <c r="E38" s="488"/>
      <c r="F38" s="488"/>
      <c r="G38" s="488"/>
      <c r="H38" s="488"/>
      <c r="I38" s="488"/>
      <c r="J38" s="488"/>
      <c r="K38" s="488"/>
      <c r="L38" s="488"/>
      <c r="M38" s="488"/>
      <c r="O38" s="70"/>
      <c r="P38" s="70"/>
      <c r="Q38" s="70"/>
      <c r="R38" s="70"/>
      <c r="S38" s="70"/>
      <c r="T38" s="70"/>
      <c r="U38" s="70"/>
      <c r="V38" s="70"/>
      <c r="W38" s="70"/>
      <c r="X38" s="70"/>
      <c r="Y38" s="70"/>
      <c r="Z38" s="70"/>
      <c r="AA38" s="70"/>
    </row>
    <row r="39" spans="2:27" x14ac:dyDescent="0.4">
      <c r="B39" s="488"/>
      <c r="C39" s="488"/>
      <c r="D39" s="488"/>
      <c r="E39" s="488"/>
      <c r="F39" s="488"/>
      <c r="G39" s="488"/>
      <c r="H39" s="488"/>
      <c r="I39" s="488"/>
      <c r="J39" s="488"/>
      <c r="K39" s="488"/>
      <c r="L39" s="488"/>
      <c r="M39" s="488"/>
      <c r="O39" s="70"/>
      <c r="P39" s="70"/>
      <c r="Q39" s="70"/>
      <c r="R39" s="70"/>
      <c r="S39" s="70"/>
      <c r="T39" s="70"/>
      <c r="U39" s="70"/>
      <c r="V39" s="70"/>
      <c r="W39" s="70"/>
      <c r="X39" s="70"/>
      <c r="Y39" s="70"/>
      <c r="Z39" s="70"/>
      <c r="AA39" s="70"/>
    </row>
    <row r="40" spans="2:27" x14ac:dyDescent="0.4">
      <c r="B40" s="488"/>
      <c r="C40" s="488"/>
      <c r="D40" s="488"/>
      <c r="E40" s="488"/>
      <c r="F40" s="488"/>
      <c r="G40" s="488"/>
      <c r="H40" s="488"/>
      <c r="I40" s="488"/>
      <c r="J40" s="488"/>
      <c r="K40" s="488"/>
      <c r="L40" s="488"/>
      <c r="M40" s="488"/>
      <c r="O40" s="70"/>
      <c r="P40" s="70"/>
      <c r="Q40" s="70"/>
      <c r="R40" s="70"/>
      <c r="S40" s="70"/>
      <c r="T40" s="70"/>
      <c r="U40" s="70"/>
      <c r="V40" s="70"/>
      <c r="W40" s="70"/>
      <c r="X40" s="70"/>
      <c r="Y40" s="70"/>
      <c r="Z40" s="70"/>
      <c r="AA40" s="70"/>
    </row>
    <row r="41" spans="2:27" x14ac:dyDescent="0.4">
      <c r="B41" s="488"/>
      <c r="C41" s="488"/>
      <c r="D41" s="488"/>
      <c r="E41" s="488"/>
      <c r="F41" s="488"/>
      <c r="G41" s="488"/>
      <c r="H41" s="488"/>
      <c r="I41" s="488"/>
      <c r="J41" s="488"/>
      <c r="K41" s="488"/>
      <c r="L41" s="488"/>
      <c r="M41" s="488"/>
      <c r="O41" s="70"/>
      <c r="P41" s="70"/>
      <c r="Q41" s="70"/>
      <c r="R41" s="70"/>
      <c r="S41" s="70"/>
      <c r="T41" s="70"/>
      <c r="U41" s="70"/>
      <c r="V41" s="70"/>
      <c r="W41" s="70"/>
      <c r="X41" s="70"/>
      <c r="Y41" s="70"/>
      <c r="Z41" s="70"/>
      <c r="AA41" s="70"/>
    </row>
    <row r="42" spans="2:27" x14ac:dyDescent="0.4">
      <c r="B42" s="488"/>
      <c r="C42" s="488"/>
      <c r="D42" s="488"/>
      <c r="E42" s="488"/>
      <c r="F42" s="488"/>
      <c r="G42" s="488"/>
      <c r="H42" s="488"/>
      <c r="I42" s="488"/>
      <c r="J42" s="488"/>
      <c r="K42" s="488"/>
      <c r="L42" s="488"/>
      <c r="M42" s="488"/>
      <c r="O42" s="70"/>
      <c r="P42" s="70"/>
      <c r="Q42" s="70"/>
      <c r="R42" s="70"/>
      <c r="S42" s="70"/>
      <c r="T42" s="70"/>
      <c r="U42" s="70"/>
      <c r="V42" s="70"/>
      <c r="W42" s="70"/>
      <c r="X42" s="70"/>
      <c r="Y42" s="70"/>
      <c r="Z42" s="70"/>
      <c r="AA42" s="70"/>
    </row>
    <row r="43" spans="2:27" x14ac:dyDescent="0.4">
      <c r="B43" s="488"/>
      <c r="C43" s="488"/>
      <c r="D43" s="488"/>
      <c r="E43" s="488"/>
      <c r="F43" s="488"/>
      <c r="G43" s="488"/>
      <c r="H43" s="488"/>
      <c r="I43" s="488"/>
      <c r="J43" s="488"/>
      <c r="K43" s="488"/>
      <c r="L43" s="488"/>
      <c r="M43" s="488"/>
      <c r="O43" s="70"/>
      <c r="P43" s="70"/>
      <c r="Q43" s="70"/>
      <c r="R43" s="70"/>
      <c r="S43" s="70"/>
      <c r="T43" s="70"/>
      <c r="U43" s="70"/>
      <c r="V43" s="70"/>
      <c r="W43" s="70"/>
      <c r="X43" s="70"/>
      <c r="Y43" s="70"/>
      <c r="Z43" s="70"/>
      <c r="AA43" s="70"/>
    </row>
    <row r="44" spans="2:27" x14ac:dyDescent="0.4">
      <c r="B44" s="488"/>
      <c r="C44" s="488"/>
      <c r="D44" s="488"/>
      <c r="E44" s="488"/>
      <c r="F44" s="488"/>
      <c r="G44" s="488"/>
      <c r="H44" s="488"/>
      <c r="I44" s="488"/>
      <c r="J44" s="488"/>
      <c r="K44" s="488"/>
      <c r="L44" s="488"/>
      <c r="M44" s="488"/>
      <c r="O44" s="70"/>
      <c r="P44" s="70"/>
      <c r="Q44" s="70"/>
      <c r="R44" s="70"/>
      <c r="S44" s="70"/>
      <c r="T44" s="70"/>
      <c r="U44" s="70"/>
      <c r="V44" s="70"/>
      <c r="W44" s="70"/>
      <c r="X44" s="70"/>
      <c r="Y44" s="70"/>
      <c r="Z44" s="70"/>
      <c r="AA44" s="70"/>
    </row>
    <row r="45" spans="2:27" x14ac:dyDescent="0.4">
      <c r="B45" s="488"/>
      <c r="C45" s="488"/>
      <c r="D45" s="488"/>
      <c r="E45" s="488"/>
      <c r="F45" s="488"/>
      <c r="G45" s="488"/>
      <c r="H45" s="488"/>
      <c r="I45" s="488"/>
      <c r="J45" s="488"/>
      <c r="K45" s="488"/>
      <c r="L45" s="488"/>
      <c r="M45" s="488"/>
      <c r="O45" s="70"/>
      <c r="P45" s="70"/>
      <c r="Q45" s="70"/>
      <c r="R45" s="70"/>
      <c r="S45" s="70"/>
      <c r="T45" s="70"/>
      <c r="U45" s="70"/>
      <c r="V45" s="70"/>
      <c r="W45" s="70"/>
      <c r="X45" s="70"/>
      <c r="Y45" s="70"/>
      <c r="Z45" s="70"/>
      <c r="AA45" s="70"/>
    </row>
    <row r="46" spans="2:27" x14ac:dyDescent="0.4">
      <c r="B46" s="488"/>
      <c r="C46" s="488"/>
      <c r="D46" s="488"/>
      <c r="E46" s="488"/>
      <c r="F46" s="488"/>
      <c r="G46" s="488"/>
      <c r="H46" s="488"/>
      <c r="I46" s="488"/>
      <c r="J46" s="488"/>
      <c r="K46" s="488"/>
      <c r="L46" s="488"/>
      <c r="M46" s="488"/>
      <c r="O46" s="70"/>
      <c r="P46" s="70"/>
      <c r="Q46" s="70"/>
      <c r="R46" s="70"/>
      <c r="S46" s="70"/>
      <c r="T46" s="70"/>
      <c r="U46" s="70"/>
      <c r="V46" s="70"/>
      <c r="W46" s="70"/>
      <c r="X46" s="70"/>
      <c r="Y46" s="70"/>
      <c r="Z46" s="70"/>
      <c r="AA46" s="70"/>
    </row>
    <row r="47" spans="2:27" x14ac:dyDescent="0.4">
      <c r="O47" s="70"/>
      <c r="P47" s="70"/>
      <c r="Q47" s="70"/>
      <c r="R47" s="70"/>
      <c r="S47" s="70"/>
      <c r="T47" s="70"/>
      <c r="U47" s="70"/>
      <c r="V47" s="70"/>
      <c r="W47" s="70"/>
      <c r="X47" s="70"/>
      <c r="Y47" s="70"/>
      <c r="Z47" s="70"/>
      <c r="AA47" s="70"/>
    </row>
    <row r="48" spans="2:27" ht="56.25" x14ac:dyDescent="0.4">
      <c r="B48" s="70"/>
      <c r="C48" s="72" t="s">
        <v>73</v>
      </c>
      <c r="D48" s="72" t="s">
        <v>74</v>
      </c>
      <c r="E48" s="72" t="s">
        <v>75</v>
      </c>
      <c r="F48" s="72" t="s">
        <v>76</v>
      </c>
      <c r="G48" s="72" t="s">
        <v>82</v>
      </c>
      <c r="O48" s="69"/>
      <c r="P48" s="69"/>
      <c r="Q48" s="69"/>
      <c r="R48" s="69"/>
      <c r="S48" s="69"/>
      <c r="T48" s="69"/>
      <c r="U48" s="69"/>
      <c r="V48" s="69"/>
      <c r="W48" s="69"/>
      <c r="X48" s="69"/>
      <c r="Y48" s="69"/>
      <c r="Z48" s="69"/>
    </row>
    <row r="49" spans="2:7" x14ac:dyDescent="0.4">
      <c r="B49" s="70" t="s">
        <v>68</v>
      </c>
      <c r="C49" s="73">
        <v>2064</v>
      </c>
      <c r="D49" s="73">
        <v>660</v>
      </c>
      <c r="E49" s="71">
        <v>0.37</v>
      </c>
      <c r="F49" s="71">
        <v>0.52</v>
      </c>
      <c r="G49" s="74">
        <f>ROUND(D49*E49*F49,0)</f>
        <v>127</v>
      </c>
    </row>
    <row r="50" spans="2:7" x14ac:dyDescent="0.4">
      <c r="B50" s="70" t="s">
        <v>69</v>
      </c>
      <c r="C50" s="73">
        <v>2698</v>
      </c>
      <c r="D50" s="73">
        <v>865</v>
      </c>
      <c r="E50" s="71">
        <v>0.37</v>
      </c>
      <c r="F50" s="71">
        <v>0.52</v>
      </c>
      <c r="G50" s="74">
        <f t="shared" ref="G50:G54" si="0">ROUND(D50*E50*F50,0)</f>
        <v>166</v>
      </c>
    </row>
    <row r="51" spans="2:7" x14ac:dyDescent="0.4">
      <c r="B51" s="70" t="s">
        <v>70</v>
      </c>
      <c r="C51" s="73">
        <v>1106</v>
      </c>
      <c r="D51" s="73">
        <v>365</v>
      </c>
      <c r="E51" s="71">
        <v>0.37</v>
      </c>
      <c r="F51" s="71">
        <v>0.52</v>
      </c>
      <c r="G51" s="74">
        <f t="shared" si="0"/>
        <v>70</v>
      </c>
    </row>
    <row r="52" spans="2:7" x14ac:dyDescent="0.4">
      <c r="B52" s="70" t="s">
        <v>71</v>
      </c>
      <c r="C52" s="73">
        <v>568</v>
      </c>
      <c r="D52" s="73">
        <v>159</v>
      </c>
      <c r="E52" s="71">
        <v>0.37</v>
      </c>
      <c r="F52" s="71">
        <v>0.52</v>
      </c>
      <c r="G52" s="74">
        <f t="shared" si="0"/>
        <v>31</v>
      </c>
    </row>
    <row r="53" spans="2:7" x14ac:dyDescent="0.4">
      <c r="B53" s="70" t="s">
        <v>72</v>
      </c>
      <c r="C53" s="73">
        <v>751</v>
      </c>
      <c r="D53" s="73">
        <v>227</v>
      </c>
      <c r="E53" s="71">
        <v>0.37</v>
      </c>
      <c r="F53" s="71">
        <v>0.52</v>
      </c>
      <c r="G53" s="74">
        <f t="shared" si="0"/>
        <v>44</v>
      </c>
    </row>
    <row r="54" spans="2:7" x14ac:dyDescent="0.4">
      <c r="B54" s="70"/>
      <c r="C54" s="73">
        <f>SUM(C49:C53)</f>
        <v>7187</v>
      </c>
      <c r="D54" s="73">
        <f>SUM(D49:D53)</f>
        <v>2276</v>
      </c>
      <c r="E54" s="71">
        <v>0.37</v>
      </c>
      <c r="F54" s="71">
        <v>0.52</v>
      </c>
      <c r="G54" s="74">
        <f t="shared" si="0"/>
        <v>438</v>
      </c>
    </row>
  </sheetData>
  <sheetProtection algorithmName="SHA-512" hashValue="CToptLr+WaDLzvoz4lfT1A9ss8JwZD6pLItnrs4fTKJYzdaaFjbQC37/hvzqTeAoTqbQWxyY+1Jcgiki+7n4+g==" saltValue="fvtiv3my3BmljrweoIDrAg==" spinCount="100000" sheet="1" objects="1" scenarios="1"/>
  <mergeCells count="1">
    <mergeCell ref="B2:M46"/>
  </mergeCells>
  <phoneticPr fontId="1"/>
  <pageMargins left="0.25" right="0.25"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備蓄目標と現況</vt:lpstr>
      <vt:lpstr>備蓄基準設定の考え方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m-fukunaga</dc:creator>
  <cp:lastModifiedBy>福永誠</cp:lastModifiedBy>
  <cp:lastPrinted>2026-07-17T05:56:10Z</cp:lastPrinted>
  <dcterms:created xsi:type="dcterms:W3CDTF">2026-06-12T04:57:39Z</dcterms:created>
  <dcterms:modified xsi:type="dcterms:W3CDTF">2026-07-21T23:54:13Z</dcterms:modified>
</cp:coreProperties>
</file>